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405" yWindow="90" windowWidth="8415" windowHeight="4965"/>
  </bookViews>
  <sheets>
    <sheet name="Model" sheetId="1" r:id="rId1"/>
    <sheet name="Model_STS" sheetId="7" state="hidden" r:id="rId2"/>
    <sheet name="STS_1" sheetId="8" r:id="rId3"/>
  </sheets>
  <definedNames>
    <definedName name="ChartData" localSheetId="2">STS_1!$K$5:$K$180</definedName>
    <definedName name="InputValues" localSheetId="2">STS_1!$A$5:$A$180</definedName>
    <definedName name="Investment_levels">Model!$B$10:$H$10</definedName>
    <definedName name="Lower_bound">Model!$D$14</definedName>
    <definedName name="NPV_obtained">Model!$B$14</definedName>
    <definedName name="OutputAddresses" localSheetId="2">STS_1!$B$4:$C$4</definedName>
    <definedName name="OutputValues" localSheetId="2">STS_1!$B$5:$C$180</definedName>
    <definedName name="solver_adj" localSheetId="0" hidden="1">Model!$B$10:$H$10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Model!$B$10:$H$10</definedName>
    <definedName name="solver_lhs2" localSheetId="0" hidden="1">Model!$B$14</definedName>
    <definedName name="solver_lhs3" localSheetId="0" hidden="1">Model!$B$10:$H$10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3</definedName>
    <definedName name="solver_rel3" localSheetId="0" hidden="1">5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Lower_bound</definedName>
    <definedName name="solver_rhs3" localSheetId="0" hidden="1">binary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_invested">Model!$B$17</definedName>
  </definedNames>
  <calcPr calcId="152511" iterate="1"/>
</workbook>
</file>

<file path=xl/calcChain.xml><?xml version="1.0" encoding="utf-8"?>
<calcChain xmlns="http://schemas.openxmlformats.org/spreadsheetml/2006/main">
  <c r="K1" i="8" l="1"/>
  <c r="K177" i="8"/>
  <c r="K176" i="8"/>
  <c r="K175" i="8"/>
  <c r="K174" i="8"/>
  <c r="K173" i="8"/>
  <c r="K169" i="8"/>
  <c r="K168" i="8"/>
  <c r="K167" i="8"/>
  <c r="K166" i="8"/>
  <c r="K165" i="8"/>
  <c r="K162" i="8"/>
  <c r="K161" i="8"/>
  <c r="K160" i="8"/>
  <c r="K159" i="8"/>
  <c r="K158" i="8"/>
  <c r="K157" i="8"/>
  <c r="K154" i="8"/>
  <c r="K153" i="8"/>
  <c r="K152" i="8"/>
  <c r="K151" i="8"/>
  <c r="K150" i="8"/>
  <c r="K149" i="8"/>
  <c r="K146" i="8"/>
  <c r="K145" i="8"/>
  <c r="K144" i="8"/>
  <c r="K143" i="8"/>
  <c r="K142" i="8"/>
  <c r="K141" i="8"/>
  <c r="K138" i="8"/>
  <c r="K137" i="8"/>
  <c r="K136" i="8"/>
  <c r="K135" i="8"/>
  <c r="K134" i="8"/>
  <c r="K133" i="8"/>
  <c r="K130" i="8"/>
  <c r="K129" i="8"/>
  <c r="K128" i="8"/>
  <c r="K127" i="8"/>
  <c r="K126" i="8"/>
  <c r="K125" i="8"/>
  <c r="K122" i="8"/>
  <c r="K121" i="8"/>
  <c r="K120" i="8"/>
  <c r="K119" i="8"/>
  <c r="K118" i="8"/>
  <c r="K117" i="8"/>
  <c r="K114" i="8"/>
  <c r="K113" i="8"/>
  <c r="K112" i="8"/>
  <c r="K111" i="8"/>
  <c r="K110" i="8"/>
  <c r="K109" i="8"/>
  <c r="K106" i="8"/>
  <c r="K105" i="8"/>
  <c r="K104" i="8"/>
  <c r="K103" i="8"/>
  <c r="K102" i="8"/>
  <c r="K101" i="8"/>
  <c r="K98" i="8"/>
  <c r="K97" i="8"/>
  <c r="K96" i="8"/>
  <c r="K95" i="8"/>
  <c r="K94" i="8"/>
  <c r="K93" i="8"/>
  <c r="K90" i="8"/>
  <c r="K89" i="8"/>
  <c r="K88" i="8"/>
  <c r="K87" i="8"/>
  <c r="K86" i="8"/>
  <c r="K85" i="8"/>
  <c r="K82" i="8"/>
  <c r="K81" i="8"/>
  <c r="K80" i="8"/>
  <c r="K79" i="8"/>
  <c r="K78" i="8"/>
  <c r="K77" i="8"/>
  <c r="K74" i="8"/>
  <c r="K73" i="8"/>
  <c r="K72" i="8"/>
  <c r="K71" i="8"/>
  <c r="K70" i="8"/>
  <c r="K69" i="8"/>
  <c r="K66" i="8"/>
  <c r="K65" i="8"/>
  <c r="K64" i="8"/>
  <c r="K63" i="8"/>
  <c r="K62" i="8"/>
  <c r="K61" i="8"/>
  <c r="K58" i="8"/>
  <c r="K57" i="8"/>
  <c r="K56" i="8"/>
  <c r="K55" i="8"/>
  <c r="K54" i="8"/>
  <c r="K53" i="8"/>
  <c r="K50" i="8"/>
  <c r="K49" i="8"/>
  <c r="K48" i="8"/>
  <c r="K47" i="8"/>
  <c r="K46" i="8"/>
  <c r="K45" i="8"/>
  <c r="K42" i="8"/>
  <c r="K41" i="8"/>
  <c r="K40" i="8"/>
  <c r="K39" i="8"/>
  <c r="K38" i="8"/>
  <c r="K37" i="8"/>
  <c r="K34" i="8"/>
  <c r="K33" i="8"/>
  <c r="K32" i="8"/>
  <c r="K31" i="8"/>
  <c r="K30" i="8"/>
  <c r="K29" i="8"/>
  <c r="K26" i="8"/>
  <c r="K25" i="8"/>
  <c r="K24" i="8"/>
  <c r="K23" i="8"/>
  <c r="K22" i="8"/>
  <c r="K21" i="8"/>
  <c r="K18" i="8"/>
  <c r="K17" i="8"/>
  <c r="K16" i="8"/>
  <c r="K15" i="8"/>
  <c r="K14" i="8"/>
  <c r="K13" i="8"/>
  <c r="K10" i="8"/>
  <c r="K9" i="8"/>
  <c r="K8" i="8"/>
  <c r="K7" i="8"/>
  <c r="K6" i="8"/>
  <c r="K5" i="8"/>
  <c r="J4" i="8"/>
  <c r="K180" i="8" s="1"/>
  <c r="I6" i="1"/>
  <c r="B7" i="1"/>
  <c r="C7" i="1"/>
  <c r="D7" i="1"/>
  <c r="E7" i="1"/>
  <c r="F7" i="1"/>
  <c r="G7" i="1"/>
  <c r="H7" i="1"/>
  <c r="B14" i="1"/>
  <c r="B17" i="1"/>
  <c r="K170" i="8" l="1"/>
  <c r="K178" i="8"/>
  <c r="K11" i="8"/>
  <c r="K19" i="8"/>
  <c r="K27" i="8"/>
  <c r="K35" i="8"/>
  <c r="K43" i="8"/>
  <c r="K51" i="8"/>
  <c r="K59" i="8"/>
  <c r="K67" i="8"/>
  <c r="K75" i="8"/>
  <c r="K83" i="8"/>
  <c r="K91" i="8"/>
  <c r="K99" i="8"/>
  <c r="K107" i="8"/>
  <c r="K115" i="8"/>
  <c r="K123" i="8"/>
  <c r="K131" i="8"/>
  <c r="K139" i="8"/>
  <c r="K147" i="8"/>
  <c r="K155" i="8"/>
  <c r="K163" i="8"/>
  <c r="K171" i="8"/>
  <c r="K179" i="8"/>
  <c r="K12" i="8"/>
  <c r="K20" i="8"/>
  <c r="K28" i="8"/>
  <c r="K36" i="8"/>
  <c r="K44" i="8"/>
  <c r="K52" i="8"/>
  <c r="K60" i="8"/>
  <c r="K68" i="8"/>
  <c r="K76" i="8"/>
  <c r="K84" i="8"/>
  <c r="K92" i="8"/>
  <c r="K100" i="8"/>
  <c r="K108" i="8"/>
  <c r="K116" i="8"/>
  <c r="K124" i="8"/>
  <c r="K132" i="8"/>
  <c r="K140" i="8"/>
  <c r="K148" i="8"/>
  <c r="K156" i="8"/>
  <c r="K164" i="8"/>
  <c r="K172" i="8"/>
</calcChain>
</file>

<file path=xl/comments1.xml><?xml version="1.0" encoding="utf-8"?>
<comments xmlns="http://schemas.openxmlformats.org/spreadsheetml/2006/main">
  <authors>
    <author>Chris Albright</author>
  </authors>
  <commentList>
    <comment ref="A10" authorId="0" shapeId="0">
      <text>
        <r>
          <rPr>
            <b/>
            <sz val="8"/>
            <color indexed="81"/>
            <rFont val="Tahoma"/>
            <family val="2"/>
          </rPr>
          <t>1 if we invest, 0 if not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2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3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3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0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4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7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4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1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52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5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5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5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6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8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69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70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7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7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8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7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0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8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4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8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2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9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07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0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0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11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3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1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3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2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6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27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2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1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3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4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35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3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7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4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1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5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4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55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5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59" authorId="0" shapeId="0">
      <text>
        <r>
          <rPr>
            <sz val="8"/>
            <color indexed="81"/>
            <rFont val="Tahoma"/>
            <family val="2"/>
          </rPr>
          <t>Solver found an integer solution within tolerance. All constraints are satisfied.</t>
        </r>
      </text>
    </comment>
    <comment ref="B16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6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7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8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<sst xmlns="http://schemas.openxmlformats.org/spreadsheetml/2006/main" count="24" uniqueCount="23">
  <si>
    <t>Investment</t>
  </si>
  <si>
    <t>NPV</t>
  </si>
  <si>
    <t>Investment cost</t>
  </si>
  <si>
    <t>Input data on potential investments</t>
  </si>
  <si>
    <t>Investment levels</t>
  </si>
  <si>
    <t>NPV per investment dollar</t>
  </si>
  <si>
    <t>Decisions: whether to invest</t>
  </si>
  <si>
    <t>$D$14</t>
  </si>
  <si>
    <t>NPV constraint</t>
  </si>
  <si>
    <t>NPV obtained</t>
  </si>
  <si>
    <t>Lower bound</t>
  </si>
  <si>
    <t>Total invested</t>
  </si>
  <si>
    <t>Objective to minimize</t>
  </si>
  <si>
    <t>Sum</t>
  </si>
  <si>
    <t>&gt;=</t>
  </si>
  <si>
    <t>$B$14,$B$17</t>
  </si>
  <si>
    <t>NPV lower bound</t>
  </si>
  <si>
    <t>Oneway analysis for Solver model in Model worksheet</t>
  </si>
  <si>
    <t>NPV lower bound (cell $D$14) values along side, output cell(s) along top</t>
  </si>
  <si>
    <t>NPV_obtained</t>
  </si>
  <si>
    <t>Total_invested</t>
  </si>
  <si>
    <t>Data for chart</t>
  </si>
  <si>
    <t>Capital budgeting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</si>
</sst>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;\-&quot;$&quot;#,##0"/>
  </numFmts>
  <fonts count="8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164" fontId="5" fillId="2" borderId="0" xfId="0" applyNumberFormat="1" applyFont="1" applyFill="1" applyBorder="1"/>
    <xf numFmtId="0" fontId="5" fillId="0" borderId="0" xfId="0" applyFont="1" applyAlignment="1">
      <alignment horizontal="right"/>
    </xf>
    <xf numFmtId="164" fontId="5" fillId="0" borderId="0" xfId="0" applyNumberFormat="1" applyFont="1"/>
    <xf numFmtId="2" fontId="5" fillId="0" borderId="0" xfId="0" applyNumberFormat="1" applyFont="1" applyFill="1" applyBorder="1"/>
    <xf numFmtId="0" fontId="5" fillId="3" borderId="0" xfId="0" applyFont="1" applyFill="1" applyBorder="1"/>
    <xf numFmtId="6" fontId="5" fillId="0" borderId="0" xfId="0" applyNumberFormat="1" applyFont="1"/>
    <xf numFmtId="6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5" fillId="4" borderId="0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49" fontId="0" fillId="0" borderId="0" xfId="0" applyNumberFormat="1"/>
    <xf numFmtId="0" fontId="6" fillId="0" borderId="0" xfId="0" applyFont="1"/>
    <xf numFmtId="164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7" fillId="0" borderId="0" xfId="0" applyFont="1"/>
    <xf numFmtId="164" fontId="0" fillId="0" borderId="1" xfId="0" applyNumberFormat="1" applyBorder="1"/>
    <xf numFmtId="164" fontId="0" fillId="0" borderId="4" xfId="0" applyNumberFormat="1" applyBorder="1"/>
    <xf numFmtId="164" fontId="0" fillId="0" borderId="2" xfId="0" applyNumberFormat="1" applyBorder="1"/>
    <xf numFmtId="164" fontId="0" fillId="0" borderId="5" xfId="0" applyNumberFormat="1" applyBorder="1"/>
    <xf numFmtId="164" fontId="0" fillId="0" borderId="3" xfId="0" applyNumberFormat="1" applyBorder="1"/>
    <xf numFmtId="164" fontId="0" fillId="0" borderId="6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NPV_obtained to NPV lower bound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diamond"/>
            <c:size val="2"/>
          </c:marker>
          <c:cat>
            <c:numRef>
              <c:f>STS_1!$A$5:$A$180</c:f>
              <c:numCache>
                <c:formatCode>"$"#,##0;\-"$"#,##0</c:formatCode>
                <c:ptCount val="176"/>
                <c:pt idx="0">
                  <c:v>7500</c:v>
                </c:pt>
                <c:pt idx="1">
                  <c:v>8000</c:v>
                </c:pt>
                <c:pt idx="2">
                  <c:v>8500</c:v>
                </c:pt>
                <c:pt idx="3">
                  <c:v>9000</c:v>
                </c:pt>
                <c:pt idx="4">
                  <c:v>9500</c:v>
                </c:pt>
                <c:pt idx="5">
                  <c:v>10000</c:v>
                </c:pt>
                <c:pt idx="6">
                  <c:v>10500</c:v>
                </c:pt>
                <c:pt idx="7">
                  <c:v>11000</c:v>
                </c:pt>
                <c:pt idx="8">
                  <c:v>11500</c:v>
                </c:pt>
                <c:pt idx="9">
                  <c:v>12000</c:v>
                </c:pt>
                <c:pt idx="10">
                  <c:v>12500</c:v>
                </c:pt>
                <c:pt idx="11">
                  <c:v>13000</c:v>
                </c:pt>
                <c:pt idx="12">
                  <c:v>13500</c:v>
                </c:pt>
                <c:pt idx="13">
                  <c:v>14000</c:v>
                </c:pt>
                <c:pt idx="14">
                  <c:v>14500</c:v>
                </c:pt>
                <c:pt idx="15">
                  <c:v>15000</c:v>
                </c:pt>
                <c:pt idx="16">
                  <c:v>15500</c:v>
                </c:pt>
                <c:pt idx="17">
                  <c:v>16000</c:v>
                </c:pt>
                <c:pt idx="18">
                  <c:v>16500</c:v>
                </c:pt>
                <c:pt idx="19">
                  <c:v>17000</c:v>
                </c:pt>
                <c:pt idx="20">
                  <c:v>17500</c:v>
                </c:pt>
                <c:pt idx="21">
                  <c:v>18000</c:v>
                </c:pt>
                <c:pt idx="22">
                  <c:v>18500</c:v>
                </c:pt>
                <c:pt idx="23">
                  <c:v>19000</c:v>
                </c:pt>
                <c:pt idx="24">
                  <c:v>19500</c:v>
                </c:pt>
                <c:pt idx="25">
                  <c:v>20000</c:v>
                </c:pt>
                <c:pt idx="26">
                  <c:v>20500</c:v>
                </c:pt>
                <c:pt idx="27">
                  <c:v>21000</c:v>
                </c:pt>
                <c:pt idx="28">
                  <c:v>21500</c:v>
                </c:pt>
                <c:pt idx="29">
                  <c:v>22000</c:v>
                </c:pt>
                <c:pt idx="30">
                  <c:v>22500</c:v>
                </c:pt>
                <c:pt idx="31">
                  <c:v>23000</c:v>
                </c:pt>
                <c:pt idx="32">
                  <c:v>23500</c:v>
                </c:pt>
                <c:pt idx="33">
                  <c:v>24000</c:v>
                </c:pt>
                <c:pt idx="34">
                  <c:v>24500</c:v>
                </c:pt>
                <c:pt idx="35">
                  <c:v>25000</c:v>
                </c:pt>
                <c:pt idx="36">
                  <c:v>25500</c:v>
                </c:pt>
                <c:pt idx="37">
                  <c:v>26000</c:v>
                </c:pt>
                <c:pt idx="38">
                  <c:v>26500</c:v>
                </c:pt>
                <c:pt idx="39">
                  <c:v>27000</c:v>
                </c:pt>
                <c:pt idx="40">
                  <c:v>27500</c:v>
                </c:pt>
                <c:pt idx="41">
                  <c:v>28000</c:v>
                </c:pt>
                <c:pt idx="42">
                  <c:v>28500</c:v>
                </c:pt>
                <c:pt idx="43">
                  <c:v>29000</c:v>
                </c:pt>
                <c:pt idx="44">
                  <c:v>29500</c:v>
                </c:pt>
                <c:pt idx="45">
                  <c:v>30000</c:v>
                </c:pt>
                <c:pt idx="46">
                  <c:v>30500</c:v>
                </c:pt>
                <c:pt idx="47">
                  <c:v>31000</c:v>
                </c:pt>
                <c:pt idx="48">
                  <c:v>31500</c:v>
                </c:pt>
                <c:pt idx="49">
                  <c:v>32000</c:v>
                </c:pt>
                <c:pt idx="50">
                  <c:v>32500</c:v>
                </c:pt>
                <c:pt idx="51">
                  <c:v>33000</c:v>
                </c:pt>
                <c:pt idx="52">
                  <c:v>33500</c:v>
                </c:pt>
                <c:pt idx="53">
                  <c:v>34000</c:v>
                </c:pt>
                <c:pt idx="54">
                  <c:v>34500</c:v>
                </c:pt>
                <c:pt idx="55">
                  <c:v>35000</c:v>
                </c:pt>
                <c:pt idx="56">
                  <c:v>35500</c:v>
                </c:pt>
                <c:pt idx="57">
                  <c:v>36000</c:v>
                </c:pt>
                <c:pt idx="58">
                  <c:v>36500</c:v>
                </c:pt>
                <c:pt idx="59">
                  <c:v>37000</c:v>
                </c:pt>
                <c:pt idx="60">
                  <c:v>37500</c:v>
                </c:pt>
                <c:pt idx="61">
                  <c:v>38000</c:v>
                </c:pt>
                <c:pt idx="62">
                  <c:v>38500</c:v>
                </c:pt>
                <c:pt idx="63">
                  <c:v>39000</c:v>
                </c:pt>
                <c:pt idx="64">
                  <c:v>39500</c:v>
                </c:pt>
                <c:pt idx="65">
                  <c:v>40000</c:v>
                </c:pt>
                <c:pt idx="66">
                  <c:v>40500</c:v>
                </c:pt>
                <c:pt idx="67">
                  <c:v>41000</c:v>
                </c:pt>
                <c:pt idx="68">
                  <c:v>41500</c:v>
                </c:pt>
                <c:pt idx="69">
                  <c:v>42000</c:v>
                </c:pt>
                <c:pt idx="70">
                  <c:v>42500</c:v>
                </c:pt>
                <c:pt idx="71">
                  <c:v>43000</c:v>
                </c:pt>
                <c:pt idx="72">
                  <c:v>43500</c:v>
                </c:pt>
                <c:pt idx="73">
                  <c:v>44000</c:v>
                </c:pt>
                <c:pt idx="74">
                  <c:v>44500</c:v>
                </c:pt>
                <c:pt idx="75">
                  <c:v>45000</c:v>
                </c:pt>
                <c:pt idx="76">
                  <c:v>45500</c:v>
                </c:pt>
                <c:pt idx="77">
                  <c:v>46000</c:v>
                </c:pt>
                <c:pt idx="78">
                  <c:v>46500</c:v>
                </c:pt>
                <c:pt idx="79">
                  <c:v>47000</c:v>
                </c:pt>
                <c:pt idx="80">
                  <c:v>47500</c:v>
                </c:pt>
                <c:pt idx="81">
                  <c:v>48000</c:v>
                </c:pt>
                <c:pt idx="82">
                  <c:v>48500</c:v>
                </c:pt>
                <c:pt idx="83">
                  <c:v>49000</c:v>
                </c:pt>
                <c:pt idx="84">
                  <c:v>49500</c:v>
                </c:pt>
                <c:pt idx="85">
                  <c:v>50000</c:v>
                </c:pt>
                <c:pt idx="86">
                  <c:v>50500</c:v>
                </c:pt>
                <c:pt idx="87">
                  <c:v>51000</c:v>
                </c:pt>
                <c:pt idx="88">
                  <c:v>51500</c:v>
                </c:pt>
                <c:pt idx="89">
                  <c:v>52000</c:v>
                </c:pt>
                <c:pt idx="90">
                  <c:v>52500</c:v>
                </c:pt>
                <c:pt idx="91">
                  <c:v>53000</c:v>
                </c:pt>
                <c:pt idx="92">
                  <c:v>53500</c:v>
                </c:pt>
                <c:pt idx="93">
                  <c:v>54000</c:v>
                </c:pt>
                <c:pt idx="94">
                  <c:v>54500</c:v>
                </c:pt>
                <c:pt idx="95">
                  <c:v>55000</c:v>
                </c:pt>
                <c:pt idx="96">
                  <c:v>55500</c:v>
                </c:pt>
                <c:pt idx="97">
                  <c:v>56000</c:v>
                </c:pt>
                <c:pt idx="98">
                  <c:v>56500</c:v>
                </c:pt>
                <c:pt idx="99">
                  <c:v>57000</c:v>
                </c:pt>
                <c:pt idx="100">
                  <c:v>57500</c:v>
                </c:pt>
                <c:pt idx="101">
                  <c:v>58000</c:v>
                </c:pt>
                <c:pt idx="102">
                  <c:v>58500</c:v>
                </c:pt>
                <c:pt idx="103">
                  <c:v>59000</c:v>
                </c:pt>
                <c:pt idx="104">
                  <c:v>59500</c:v>
                </c:pt>
                <c:pt idx="105">
                  <c:v>60000</c:v>
                </c:pt>
                <c:pt idx="106">
                  <c:v>60500</c:v>
                </c:pt>
                <c:pt idx="107">
                  <c:v>61000</c:v>
                </c:pt>
                <c:pt idx="108">
                  <c:v>61500</c:v>
                </c:pt>
                <c:pt idx="109">
                  <c:v>62000</c:v>
                </c:pt>
                <c:pt idx="110">
                  <c:v>62500</c:v>
                </c:pt>
                <c:pt idx="111">
                  <c:v>63000</c:v>
                </c:pt>
                <c:pt idx="112">
                  <c:v>63500</c:v>
                </c:pt>
                <c:pt idx="113">
                  <c:v>64000</c:v>
                </c:pt>
                <c:pt idx="114">
                  <c:v>64500</c:v>
                </c:pt>
                <c:pt idx="115">
                  <c:v>65000</c:v>
                </c:pt>
                <c:pt idx="116">
                  <c:v>65500</c:v>
                </c:pt>
                <c:pt idx="117">
                  <c:v>66000</c:v>
                </c:pt>
                <c:pt idx="118">
                  <c:v>66500</c:v>
                </c:pt>
                <c:pt idx="119">
                  <c:v>67000</c:v>
                </c:pt>
                <c:pt idx="120">
                  <c:v>67500</c:v>
                </c:pt>
                <c:pt idx="121">
                  <c:v>68000</c:v>
                </c:pt>
                <c:pt idx="122">
                  <c:v>68500</c:v>
                </c:pt>
                <c:pt idx="123">
                  <c:v>69000</c:v>
                </c:pt>
                <c:pt idx="124">
                  <c:v>69500</c:v>
                </c:pt>
                <c:pt idx="125">
                  <c:v>70000</c:v>
                </c:pt>
                <c:pt idx="126">
                  <c:v>70500</c:v>
                </c:pt>
                <c:pt idx="127">
                  <c:v>71000</c:v>
                </c:pt>
                <c:pt idx="128">
                  <c:v>71500</c:v>
                </c:pt>
                <c:pt idx="129">
                  <c:v>72000</c:v>
                </c:pt>
                <c:pt idx="130">
                  <c:v>72500</c:v>
                </c:pt>
                <c:pt idx="131">
                  <c:v>73000</c:v>
                </c:pt>
                <c:pt idx="132">
                  <c:v>73500</c:v>
                </c:pt>
                <c:pt idx="133">
                  <c:v>74000</c:v>
                </c:pt>
                <c:pt idx="134">
                  <c:v>74500</c:v>
                </c:pt>
                <c:pt idx="135">
                  <c:v>75000</c:v>
                </c:pt>
                <c:pt idx="136">
                  <c:v>75500</c:v>
                </c:pt>
                <c:pt idx="137">
                  <c:v>76000</c:v>
                </c:pt>
                <c:pt idx="138">
                  <c:v>76500</c:v>
                </c:pt>
                <c:pt idx="139">
                  <c:v>77000</c:v>
                </c:pt>
                <c:pt idx="140">
                  <c:v>77500</c:v>
                </c:pt>
                <c:pt idx="141">
                  <c:v>78000</c:v>
                </c:pt>
                <c:pt idx="142">
                  <c:v>78500</c:v>
                </c:pt>
                <c:pt idx="143">
                  <c:v>79000</c:v>
                </c:pt>
                <c:pt idx="144">
                  <c:v>79500</c:v>
                </c:pt>
                <c:pt idx="145">
                  <c:v>80000</c:v>
                </c:pt>
                <c:pt idx="146">
                  <c:v>80500</c:v>
                </c:pt>
                <c:pt idx="147">
                  <c:v>81000</c:v>
                </c:pt>
                <c:pt idx="148">
                  <c:v>81500</c:v>
                </c:pt>
                <c:pt idx="149">
                  <c:v>82000</c:v>
                </c:pt>
                <c:pt idx="150">
                  <c:v>82500</c:v>
                </c:pt>
                <c:pt idx="151">
                  <c:v>83000</c:v>
                </c:pt>
                <c:pt idx="152">
                  <c:v>83500</c:v>
                </c:pt>
                <c:pt idx="153">
                  <c:v>84000</c:v>
                </c:pt>
                <c:pt idx="154">
                  <c:v>84500</c:v>
                </c:pt>
                <c:pt idx="155">
                  <c:v>85000</c:v>
                </c:pt>
                <c:pt idx="156">
                  <c:v>85500</c:v>
                </c:pt>
                <c:pt idx="157">
                  <c:v>86000</c:v>
                </c:pt>
                <c:pt idx="158">
                  <c:v>86500</c:v>
                </c:pt>
                <c:pt idx="159">
                  <c:v>87000</c:v>
                </c:pt>
                <c:pt idx="160">
                  <c:v>87500</c:v>
                </c:pt>
                <c:pt idx="161">
                  <c:v>88000</c:v>
                </c:pt>
                <c:pt idx="162">
                  <c:v>88500</c:v>
                </c:pt>
                <c:pt idx="163">
                  <c:v>89000</c:v>
                </c:pt>
                <c:pt idx="164">
                  <c:v>89500</c:v>
                </c:pt>
                <c:pt idx="165">
                  <c:v>90000</c:v>
                </c:pt>
                <c:pt idx="166">
                  <c:v>90500</c:v>
                </c:pt>
                <c:pt idx="167">
                  <c:v>91000</c:v>
                </c:pt>
                <c:pt idx="168">
                  <c:v>91500</c:v>
                </c:pt>
                <c:pt idx="169">
                  <c:v>92000</c:v>
                </c:pt>
                <c:pt idx="170">
                  <c:v>92500</c:v>
                </c:pt>
                <c:pt idx="171">
                  <c:v>93000</c:v>
                </c:pt>
                <c:pt idx="172">
                  <c:v>93500</c:v>
                </c:pt>
                <c:pt idx="173">
                  <c:v>94000</c:v>
                </c:pt>
                <c:pt idx="174">
                  <c:v>94500</c:v>
                </c:pt>
                <c:pt idx="175">
                  <c:v>95000</c:v>
                </c:pt>
              </c:numCache>
            </c:numRef>
          </c:cat>
          <c:val>
            <c:numRef>
              <c:f>STS_1!$K$5:$K$180</c:f>
              <c:numCache>
                <c:formatCode>General</c:formatCode>
                <c:ptCount val="176"/>
                <c:pt idx="0">
                  <c:v>8000</c:v>
                </c:pt>
                <c:pt idx="1">
                  <c:v>8000</c:v>
                </c:pt>
                <c:pt idx="2">
                  <c:v>10000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  <c:pt idx="6">
                  <c:v>12000</c:v>
                </c:pt>
                <c:pt idx="7">
                  <c:v>12000</c:v>
                </c:pt>
                <c:pt idx="8">
                  <c:v>12000</c:v>
                </c:pt>
                <c:pt idx="9">
                  <c:v>12000</c:v>
                </c:pt>
                <c:pt idx="10">
                  <c:v>16000</c:v>
                </c:pt>
                <c:pt idx="11">
                  <c:v>16000</c:v>
                </c:pt>
                <c:pt idx="12">
                  <c:v>16000</c:v>
                </c:pt>
                <c:pt idx="13">
                  <c:v>16000</c:v>
                </c:pt>
                <c:pt idx="14">
                  <c:v>16000</c:v>
                </c:pt>
                <c:pt idx="15">
                  <c:v>16000</c:v>
                </c:pt>
                <c:pt idx="16">
                  <c:v>16000</c:v>
                </c:pt>
                <c:pt idx="17">
                  <c:v>16000</c:v>
                </c:pt>
                <c:pt idx="18">
                  <c:v>18000</c:v>
                </c:pt>
                <c:pt idx="19">
                  <c:v>18000</c:v>
                </c:pt>
                <c:pt idx="20">
                  <c:v>18000</c:v>
                </c:pt>
                <c:pt idx="21">
                  <c:v>18000</c:v>
                </c:pt>
                <c:pt idx="22">
                  <c:v>19500</c:v>
                </c:pt>
                <c:pt idx="23">
                  <c:v>19500</c:v>
                </c:pt>
                <c:pt idx="24">
                  <c:v>19500</c:v>
                </c:pt>
                <c:pt idx="25">
                  <c:v>20000</c:v>
                </c:pt>
                <c:pt idx="26">
                  <c:v>22000</c:v>
                </c:pt>
                <c:pt idx="27">
                  <c:v>22000</c:v>
                </c:pt>
                <c:pt idx="28">
                  <c:v>22000</c:v>
                </c:pt>
                <c:pt idx="29">
                  <c:v>22000</c:v>
                </c:pt>
                <c:pt idx="30">
                  <c:v>24000</c:v>
                </c:pt>
                <c:pt idx="31">
                  <c:v>24000</c:v>
                </c:pt>
                <c:pt idx="32">
                  <c:v>24000</c:v>
                </c:pt>
                <c:pt idx="33">
                  <c:v>24000</c:v>
                </c:pt>
                <c:pt idx="34">
                  <c:v>26000</c:v>
                </c:pt>
                <c:pt idx="35">
                  <c:v>26000</c:v>
                </c:pt>
                <c:pt idx="36">
                  <c:v>26000</c:v>
                </c:pt>
                <c:pt idx="37">
                  <c:v>26000</c:v>
                </c:pt>
                <c:pt idx="38">
                  <c:v>27500</c:v>
                </c:pt>
                <c:pt idx="39">
                  <c:v>27500</c:v>
                </c:pt>
                <c:pt idx="40">
                  <c:v>27500</c:v>
                </c:pt>
                <c:pt idx="41">
                  <c:v>29500</c:v>
                </c:pt>
                <c:pt idx="42">
                  <c:v>29500</c:v>
                </c:pt>
                <c:pt idx="43">
                  <c:v>29500</c:v>
                </c:pt>
                <c:pt idx="44">
                  <c:v>30000</c:v>
                </c:pt>
                <c:pt idx="45">
                  <c:v>30000</c:v>
                </c:pt>
                <c:pt idx="46">
                  <c:v>31500</c:v>
                </c:pt>
                <c:pt idx="47">
                  <c:v>32000</c:v>
                </c:pt>
                <c:pt idx="48">
                  <c:v>32000</c:v>
                </c:pt>
                <c:pt idx="49">
                  <c:v>32000</c:v>
                </c:pt>
                <c:pt idx="50">
                  <c:v>34000</c:v>
                </c:pt>
                <c:pt idx="51">
                  <c:v>34000</c:v>
                </c:pt>
                <c:pt idx="52">
                  <c:v>34000</c:v>
                </c:pt>
                <c:pt idx="53">
                  <c:v>34000</c:v>
                </c:pt>
                <c:pt idx="54">
                  <c:v>35500</c:v>
                </c:pt>
                <c:pt idx="55">
                  <c:v>35500</c:v>
                </c:pt>
                <c:pt idx="56">
                  <c:v>35500</c:v>
                </c:pt>
                <c:pt idx="57">
                  <c:v>37500</c:v>
                </c:pt>
                <c:pt idx="58">
                  <c:v>37500</c:v>
                </c:pt>
                <c:pt idx="59">
                  <c:v>37500</c:v>
                </c:pt>
                <c:pt idx="60">
                  <c:v>37500</c:v>
                </c:pt>
                <c:pt idx="61">
                  <c:v>38000</c:v>
                </c:pt>
                <c:pt idx="62">
                  <c:v>39500</c:v>
                </c:pt>
                <c:pt idx="63">
                  <c:v>39500</c:v>
                </c:pt>
                <c:pt idx="64">
                  <c:v>40000</c:v>
                </c:pt>
                <c:pt idx="65">
                  <c:v>40000</c:v>
                </c:pt>
                <c:pt idx="66">
                  <c:v>41500</c:v>
                </c:pt>
                <c:pt idx="67">
                  <c:v>41500</c:v>
                </c:pt>
                <c:pt idx="68">
                  <c:v>41500</c:v>
                </c:pt>
                <c:pt idx="69">
                  <c:v>43500</c:v>
                </c:pt>
                <c:pt idx="70">
                  <c:v>43500</c:v>
                </c:pt>
                <c:pt idx="71">
                  <c:v>43500</c:v>
                </c:pt>
                <c:pt idx="72">
                  <c:v>43500</c:v>
                </c:pt>
                <c:pt idx="73">
                  <c:v>46000</c:v>
                </c:pt>
                <c:pt idx="74">
                  <c:v>46000</c:v>
                </c:pt>
                <c:pt idx="75">
                  <c:v>46000</c:v>
                </c:pt>
                <c:pt idx="76">
                  <c:v>46000</c:v>
                </c:pt>
                <c:pt idx="77">
                  <c:v>46000</c:v>
                </c:pt>
                <c:pt idx="78">
                  <c:v>49500</c:v>
                </c:pt>
                <c:pt idx="79">
                  <c:v>48000</c:v>
                </c:pt>
                <c:pt idx="80">
                  <c:v>49500</c:v>
                </c:pt>
                <c:pt idx="81">
                  <c:v>49500</c:v>
                </c:pt>
                <c:pt idx="82">
                  <c:v>49500</c:v>
                </c:pt>
                <c:pt idx="83">
                  <c:v>49500</c:v>
                </c:pt>
                <c:pt idx="84">
                  <c:v>49500</c:v>
                </c:pt>
                <c:pt idx="85">
                  <c:v>50000</c:v>
                </c:pt>
                <c:pt idx="86">
                  <c:v>51500</c:v>
                </c:pt>
                <c:pt idx="87">
                  <c:v>51500</c:v>
                </c:pt>
                <c:pt idx="88">
                  <c:v>51500</c:v>
                </c:pt>
                <c:pt idx="89">
                  <c:v>53500</c:v>
                </c:pt>
                <c:pt idx="90">
                  <c:v>53500</c:v>
                </c:pt>
                <c:pt idx="91">
                  <c:v>53500</c:v>
                </c:pt>
                <c:pt idx="92">
                  <c:v>53500</c:v>
                </c:pt>
                <c:pt idx="93">
                  <c:v>55500</c:v>
                </c:pt>
                <c:pt idx="94">
                  <c:v>55500</c:v>
                </c:pt>
                <c:pt idx="95">
                  <c:v>55500</c:v>
                </c:pt>
                <c:pt idx="96">
                  <c:v>57500</c:v>
                </c:pt>
                <c:pt idx="97">
                  <c:v>57500</c:v>
                </c:pt>
                <c:pt idx="98">
                  <c:v>57500</c:v>
                </c:pt>
                <c:pt idx="99">
                  <c:v>57500</c:v>
                </c:pt>
                <c:pt idx="100">
                  <c:v>57500</c:v>
                </c:pt>
                <c:pt idx="101">
                  <c:v>58000</c:v>
                </c:pt>
                <c:pt idx="102">
                  <c:v>59500</c:v>
                </c:pt>
                <c:pt idx="103">
                  <c:v>59500</c:v>
                </c:pt>
                <c:pt idx="104">
                  <c:v>59500</c:v>
                </c:pt>
                <c:pt idx="105">
                  <c:v>61500</c:v>
                </c:pt>
                <c:pt idx="106">
                  <c:v>61500</c:v>
                </c:pt>
                <c:pt idx="107">
                  <c:v>61500</c:v>
                </c:pt>
                <c:pt idx="108">
                  <c:v>61500</c:v>
                </c:pt>
                <c:pt idx="109">
                  <c:v>65500</c:v>
                </c:pt>
                <c:pt idx="110">
                  <c:v>65500</c:v>
                </c:pt>
                <c:pt idx="111">
                  <c:v>65500</c:v>
                </c:pt>
                <c:pt idx="112">
                  <c:v>65500</c:v>
                </c:pt>
                <c:pt idx="113">
                  <c:v>65500</c:v>
                </c:pt>
                <c:pt idx="114">
                  <c:v>65500</c:v>
                </c:pt>
                <c:pt idx="115">
                  <c:v>65500</c:v>
                </c:pt>
                <c:pt idx="116">
                  <c:v>65500</c:v>
                </c:pt>
                <c:pt idx="117">
                  <c:v>67500</c:v>
                </c:pt>
                <c:pt idx="118">
                  <c:v>67500</c:v>
                </c:pt>
                <c:pt idx="119">
                  <c:v>67500</c:v>
                </c:pt>
                <c:pt idx="120">
                  <c:v>67500</c:v>
                </c:pt>
                <c:pt idx="121">
                  <c:v>69500</c:v>
                </c:pt>
                <c:pt idx="122">
                  <c:v>69500</c:v>
                </c:pt>
                <c:pt idx="123">
                  <c:v>69500</c:v>
                </c:pt>
                <c:pt idx="124">
                  <c:v>69500</c:v>
                </c:pt>
                <c:pt idx="125">
                  <c:v>71500</c:v>
                </c:pt>
                <c:pt idx="126">
                  <c:v>71500</c:v>
                </c:pt>
                <c:pt idx="127">
                  <c:v>71500</c:v>
                </c:pt>
                <c:pt idx="128">
                  <c:v>73000</c:v>
                </c:pt>
                <c:pt idx="129">
                  <c:v>73000</c:v>
                </c:pt>
                <c:pt idx="130">
                  <c:v>73000</c:v>
                </c:pt>
                <c:pt idx="131">
                  <c:v>73000</c:v>
                </c:pt>
                <c:pt idx="132">
                  <c:v>75500</c:v>
                </c:pt>
                <c:pt idx="133">
                  <c:v>75500</c:v>
                </c:pt>
                <c:pt idx="134">
                  <c:v>75500</c:v>
                </c:pt>
                <c:pt idx="135">
                  <c:v>75500</c:v>
                </c:pt>
                <c:pt idx="136">
                  <c:v>75500</c:v>
                </c:pt>
                <c:pt idx="137">
                  <c:v>77500</c:v>
                </c:pt>
                <c:pt idx="138">
                  <c:v>77500</c:v>
                </c:pt>
                <c:pt idx="139">
                  <c:v>77500</c:v>
                </c:pt>
                <c:pt idx="140">
                  <c:v>77500</c:v>
                </c:pt>
                <c:pt idx="141">
                  <c:v>79500</c:v>
                </c:pt>
                <c:pt idx="142">
                  <c:v>79500</c:v>
                </c:pt>
                <c:pt idx="143">
                  <c:v>79500</c:v>
                </c:pt>
                <c:pt idx="144">
                  <c:v>79500</c:v>
                </c:pt>
                <c:pt idx="145">
                  <c:v>83000</c:v>
                </c:pt>
                <c:pt idx="146">
                  <c:v>83000</c:v>
                </c:pt>
                <c:pt idx="147">
                  <c:v>83000</c:v>
                </c:pt>
                <c:pt idx="148">
                  <c:v>83000</c:v>
                </c:pt>
                <c:pt idx="149">
                  <c:v>83000</c:v>
                </c:pt>
                <c:pt idx="150">
                  <c:v>83000</c:v>
                </c:pt>
                <c:pt idx="151">
                  <c:v>83000</c:v>
                </c:pt>
                <c:pt idx="152">
                  <c:v>85000</c:v>
                </c:pt>
                <c:pt idx="153">
                  <c:v>85000</c:v>
                </c:pt>
                <c:pt idx="154">
                  <c:v>85000</c:v>
                </c:pt>
                <c:pt idx="155">
                  <c:v>85000</c:v>
                </c:pt>
                <c:pt idx="156">
                  <c:v>87500</c:v>
                </c:pt>
                <c:pt idx="157">
                  <c:v>87500</c:v>
                </c:pt>
                <c:pt idx="158">
                  <c:v>87500</c:v>
                </c:pt>
                <c:pt idx="159">
                  <c:v>87500</c:v>
                </c:pt>
                <c:pt idx="160">
                  <c:v>87500</c:v>
                </c:pt>
                <c:pt idx="161">
                  <c:v>95000</c:v>
                </c:pt>
                <c:pt idx="162">
                  <c:v>95000</c:v>
                </c:pt>
                <c:pt idx="163">
                  <c:v>95000</c:v>
                </c:pt>
                <c:pt idx="164">
                  <c:v>95000</c:v>
                </c:pt>
                <c:pt idx="165">
                  <c:v>95000</c:v>
                </c:pt>
                <c:pt idx="166">
                  <c:v>95000</c:v>
                </c:pt>
                <c:pt idx="167">
                  <c:v>95000</c:v>
                </c:pt>
                <c:pt idx="168">
                  <c:v>95000</c:v>
                </c:pt>
                <c:pt idx="169">
                  <c:v>95000</c:v>
                </c:pt>
                <c:pt idx="170">
                  <c:v>95000</c:v>
                </c:pt>
                <c:pt idx="171">
                  <c:v>95000</c:v>
                </c:pt>
                <c:pt idx="172">
                  <c:v>95000</c:v>
                </c:pt>
                <c:pt idx="173">
                  <c:v>95000</c:v>
                </c:pt>
                <c:pt idx="174">
                  <c:v>95000</c:v>
                </c:pt>
                <c:pt idx="175">
                  <c:v>95000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51824"/>
        <c:axId val="383456920"/>
      </c:lineChart>
      <c:catAx>
        <c:axId val="38345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NPV lower bound ($D$14)</a:t>
                </a:r>
              </a:p>
            </c:rich>
          </c:tx>
          <c:layout/>
          <c:overlay val="0"/>
        </c:title>
        <c:numFmt formatCode="&quot;$&quot;#,##0;\-&quot;$&quot;#,##0" sourceLinked="1"/>
        <c:majorTickMark val="out"/>
        <c:minorTickMark val="none"/>
        <c:tickLblPos val="nextTo"/>
        <c:crossAx val="383456920"/>
        <c:crosses val="autoZero"/>
        <c:auto val="1"/>
        <c:lblAlgn val="ctr"/>
        <c:lblOffset val="100"/>
        <c:noMultiLvlLbl val="0"/>
      </c:catAx>
      <c:valAx>
        <c:axId val="383456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451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9525</xdr:rowOff>
    </xdr:from>
    <xdr:to>
      <xdr:col>16</xdr:col>
      <xdr:colOff>9525</xdr:colOff>
      <xdr:row>3</xdr:row>
      <xdr:rowOff>876300</xdr:rowOff>
    </xdr:to>
    <xdr:sp macro="" textlink="">
      <xdr:nvSpPr>
        <xdr:cNvPr id="3" name="TextBox 2"/>
        <xdr:cNvSpPr txBox="1"/>
      </xdr:nvSpPr>
      <xdr:spPr>
        <a:xfrm>
          <a:off x="7324725" y="581025"/>
          <a:ext cx="2438400" cy="866775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12</xdr:col>
      <xdr:colOff>0</xdr:colOff>
      <xdr:row>5</xdr:row>
      <xdr:rowOff>0</xdr:rowOff>
    </xdr:from>
    <xdr:to>
      <xdr:col>20</xdr:col>
      <xdr:colOff>0</xdr:colOff>
      <xdr:row>22</xdr:row>
      <xdr:rowOff>133350</xdr:rowOff>
    </xdr:to>
    <xdr:graphicFrame macro="">
      <xdr:nvGraphicFramePr>
        <xdr:cNvPr id="4" name="STS_1_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</xdr:row>
      <xdr:rowOff>190499</xdr:rowOff>
    </xdr:from>
    <xdr:to>
      <xdr:col>9</xdr:col>
      <xdr:colOff>28575</xdr:colOff>
      <xdr:row>10</xdr:row>
      <xdr:rowOff>180974</xdr:rowOff>
    </xdr:to>
    <xdr:sp macro="" textlink="">
      <xdr:nvSpPr>
        <xdr:cNvPr id="5" name="TextBox 4"/>
        <xdr:cNvSpPr txBox="1"/>
      </xdr:nvSpPr>
      <xdr:spPr>
        <a:xfrm>
          <a:off x="2438400" y="1714499"/>
          <a:ext cx="3076575" cy="1133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 varied the lower bound from the smallest NPV, $7500, to the sum of all NPVs, $95,000. Each point on the curve shows the minimum amount needed to be invested to achieve a given lower bound on NPV.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K18"/>
  <sheetViews>
    <sheetView tabSelected="1" workbookViewId="0"/>
  </sheetViews>
  <sheetFormatPr defaultRowHeight="15" x14ac:dyDescent="0.25"/>
  <cols>
    <col min="1" max="1" width="24.140625" style="2" customWidth="1"/>
    <col min="2" max="2" width="15" style="2" customWidth="1"/>
    <col min="3" max="3" width="11.28515625" style="2" customWidth="1"/>
    <col min="4" max="4" width="10.140625" style="2" customWidth="1"/>
    <col min="5" max="5" width="10" style="2" customWidth="1"/>
    <col min="6" max="6" width="12.42578125" style="2" customWidth="1"/>
    <col min="7" max="8" width="9.140625" style="2"/>
    <col min="9" max="9" width="11.5703125" style="2" customWidth="1"/>
    <col min="10" max="11" width="9.140625" style="2"/>
    <col min="12" max="12" width="9" style="2" customWidth="1"/>
    <col min="13" max="13" width="11.7109375" style="2" customWidth="1"/>
    <col min="14" max="16384" width="9.140625" style="2"/>
  </cols>
  <sheetData>
    <row r="1" spans="1:11" x14ac:dyDescent="0.25">
      <c r="A1" s="1" t="s">
        <v>22</v>
      </c>
    </row>
    <row r="3" spans="1:11" x14ac:dyDescent="0.25">
      <c r="A3" s="1" t="s">
        <v>3</v>
      </c>
    </row>
    <row r="4" spans="1:11" x14ac:dyDescent="0.25">
      <c r="A4" s="2" t="s">
        <v>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K4" s="3"/>
    </row>
    <row r="5" spans="1:11" x14ac:dyDescent="0.25">
      <c r="A5" s="2" t="s">
        <v>2</v>
      </c>
      <c r="B5" s="4">
        <v>5000</v>
      </c>
      <c r="C5" s="4">
        <v>2500</v>
      </c>
      <c r="D5" s="4">
        <v>3500</v>
      </c>
      <c r="E5" s="4">
        <v>6000</v>
      </c>
      <c r="F5" s="4">
        <v>7000</v>
      </c>
      <c r="G5" s="4">
        <v>4500</v>
      </c>
      <c r="H5" s="4">
        <v>3000</v>
      </c>
      <c r="I5" s="5" t="s">
        <v>13</v>
      </c>
      <c r="K5" s="3"/>
    </row>
    <row r="6" spans="1:11" x14ac:dyDescent="0.25">
      <c r="A6" s="2" t="s">
        <v>1</v>
      </c>
      <c r="B6" s="4">
        <v>16000</v>
      </c>
      <c r="C6" s="4">
        <v>8000</v>
      </c>
      <c r="D6" s="4">
        <v>10000</v>
      </c>
      <c r="E6" s="4">
        <v>19500</v>
      </c>
      <c r="F6" s="4">
        <v>22000</v>
      </c>
      <c r="G6" s="4">
        <v>12000</v>
      </c>
      <c r="H6" s="4">
        <v>7500</v>
      </c>
      <c r="I6" s="6">
        <f>SUM(B6:H6)</f>
        <v>95000</v>
      </c>
      <c r="K6" s="3"/>
    </row>
    <row r="7" spans="1:11" x14ac:dyDescent="0.25">
      <c r="A7" s="2" t="s">
        <v>5</v>
      </c>
      <c r="B7" s="7">
        <f t="shared" ref="B7:H7" si="0">B6/B5</f>
        <v>3.2</v>
      </c>
      <c r="C7" s="7">
        <f t="shared" si="0"/>
        <v>3.2</v>
      </c>
      <c r="D7" s="7">
        <f t="shared" si="0"/>
        <v>2.8571428571428572</v>
      </c>
      <c r="E7" s="7">
        <f t="shared" si="0"/>
        <v>3.25</v>
      </c>
      <c r="F7" s="7">
        <f t="shared" si="0"/>
        <v>3.1428571428571428</v>
      </c>
      <c r="G7" s="7">
        <f t="shared" si="0"/>
        <v>2.6666666666666665</v>
      </c>
      <c r="H7" s="7">
        <f t="shared" si="0"/>
        <v>2.5</v>
      </c>
      <c r="K7" s="3"/>
    </row>
    <row r="9" spans="1:11" x14ac:dyDescent="0.25">
      <c r="A9" s="1" t="s">
        <v>6</v>
      </c>
    </row>
    <row r="10" spans="1:11" x14ac:dyDescent="0.25">
      <c r="A10" s="2" t="s">
        <v>4</v>
      </c>
      <c r="B10" s="8">
        <v>1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</row>
    <row r="11" spans="1:11" x14ac:dyDescent="0.25">
      <c r="B11" s="9"/>
      <c r="C11" s="9"/>
      <c r="D11" s="9"/>
      <c r="E11" s="9"/>
      <c r="F11" s="9"/>
      <c r="G11" s="9"/>
      <c r="H11" s="9"/>
      <c r="I11" s="5"/>
      <c r="J11" s="5"/>
    </row>
    <row r="12" spans="1:11" x14ac:dyDescent="0.25">
      <c r="A12" s="1" t="s">
        <v>8</v>
      </c>
      <c r="B12" s="9"/>
      <c r="C12" s="9"/>
      <c r="D12" s="9"/>
      <c r="E12" s="9"/>
      <c r="F12" s="9"/>
      <c r="G12" s="9"/>
      <c r="H12" s="9"/>
      <c r="I12" s="5"/>
      <c r="J12" s="5"/>
    </row>
    <row r="13" spans="1:11" x14ac:dyDescent="0.25">
      <c r="B13" s="10" t="s">
        <v>9</v>
      </c>
      <c r="C13" s="10"/>
      <c r="D13" s="10" t="s">
        <v>10</v>
      </c>
      <c r="E13" s="10"/>
      <c r="H13" s="9"/>
      <c r="I13" s="5"/>
      <c r="J13" s="5"/>
    </row>
    <row r="14" spans="1:11" x14ac:dyDescent="0.25">
      <c r="B14" s="11">
        <f>SUMPRODUCT(B6:H6,Investment_levels)</f>
        <v>16000</v>
      </c>
      <c r="C14" s="12" t="s">
        <v>14</v>
      </c>
      <c r="D14" s="4">
        <v>15000</v>
      </c>
      <c r="E14" s="11"/>
    </row>
    <row r="16" spans="1:11" x14ac:dyDescent="0.25">
      <c r="A16" s="1" t="s">
        <v>12</v>
      </c>
    </row>
    <row r="17" spans="1:9" x14ac:dyDescent="0.25">
      <c r="A17" s="13" t="s">
        <v>11</v>
      </c>
      <c r="B17" s="14">
        <f>SUMPRODUCT(B5:H5,Investment_levels)</f>
        <v>5000</v>
      </c>
      <c r="C17" s="15"/>
      <c r="D17" s="15"/>
      <c r="E17" s="15"/>
    </row>
    <row r="18" spans="1:9" x14ac:dyDescent="0.25">
      <c r="I18" s="3"/>
    </row>
  </sheetData>
  <phoneticPr fontId="3" type="noConversion"/>
  <printOptions horizontalCentered="1" verticalCentered="1" headings="1" gridLines="1" gridLinesSet="0"/>
  <pageMargins left="0.75" right="0.75" top="1" bottom="1" header="0.5" footer="0.5"/>
  <pageSetup scale="25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7</v>
      </c>
    </row>
    <row r="3" spans="1:2" x14ac:dyDescent="0.25">
      <c r="A3">
        <v>1</v>
      </c>
    </row>
    <row r="4" spans="1:2" x14ac:dyDescent="0.25">
      <c r="A4">
        <v>7500</v>
      </c>
    </row>
    <row r="5" spans="1:2" x14ac:dyDescent="0.25">
      <c r="A5">
        <v>95000</v>
      </c>
    </row>
    <row r="6" spans="1:2" x14ac:dyDescent="0.25">
      <c r="A6">
        <v>500</v>
      </c>
    </row>
    <row r="8" spans="1:2" x14ac:dyDescent="0.25">
      <c r="A8" s="16"/>
      <c r="B8" s="16"/>
    </row>
    <row r="9" spans="1:2" x14ac:dyDescent="0.25">
      <c r="A9" t="s">
        <v>15</v>
      </c>
    </row>
    <row r="10" spans="1:2" x14ac:dyDescent="0.25">
      <c r="A10" t="s">
        <v>16</v>
      </c>
    </row>
    <row r="15" spans="1:2" x14ac:dyDescent="0.25">
      <c r="B1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0"/>
  <sheetViews>
    <sheetView workbookViewId="0"/>
  </sheetViews>
  <sheetFormatPr defaultRowHeight="15" x14ac:dyDescent="0.25"/>
  <sheetData>
    <row r="1" spans="1:11" x14ac:dyDescent="0.25">
      <c r="A1" s="17" t="s">
        <v>17</v>
      </c>
      <c r="K1" s="21" t="str">
        <f>CONCATENATE("Sensitivity of ",$K$4," to ","NPV lower bound")</f>
        <v>Sensitivity of NPV_obtained to NPV lower bound</v>
      </c>
    </row>
    <row r="3" spans="1:11" x14ac:dyDescent="0.25">
      <c r="A3" t="s">
        <v>18</v>
      </c>
      <c r="K3" t="s">
        <v>21</v>
      </c>
    </row>
    <row r="4" spans="1:11" ht="75" x14ac:dyDescent="0.25">
      <c r="B4" s="19" t="s">
        <v>19</v>
      </c>
      <c r="C4" s="19" t="s">
        <v>20</v>
      </c>
      <c r="J4" s="21">
        <f>MATCH($K$4,OutputAddresses,0)</f>
        <v>1</v>
      </c>
      <c r="K4" s="20" t="s">
        <v>19</v>
      </c>
    </row>
    <row r="5" spans="1:11" x14ac:dyDescent="0.25">
      <c r="A5" s="18">
        <v>7500</v>
      </c>
      <c r="B5" s="22">
        <v>8000</v>
      </c>
      <c r="C5" s="23">
        <v>2500</v>
      </c>
      <c r="K5">
        <f>INDEX(OutputValues,1,$J$4)</f>
        <v>8000</v>
      </c>
    </row>
    <row r="6" spans="1:11" x14ac:dyDescent="0.25">
      <c r="A6" s="18">
        <v>8000</v>
      </c>
      <c r="B6" s="24">
        <v>8000</v>
      </c>
      <c r="C6" s="25">
        <v>2500</v>
      </c>
      <c r="K6">
        <f>INDEX(OutputValues,2,$J$4)</f>
        <v>8000</v>
      </c>
    </row>
    <row r="7" spans="1:11" x14ac:dyDescent="0.25">
      <c r="A7" s="18">
        <v>8500</v>
      </c>
      <c r="B7" s="24">
        <v>10000</v>
      </c>
      <c r="C7" s="25">
        <v>3500</v>
      </c>
      <c r="K7">
        <f>INDEX(OutputValues,3,$J$4)</f>
        <v>10000</v>
      </c>
    </row>
    <row r="8" spans="1:11" x14ac:dyDescent="0.25">
      <c r="A8" s="18">
        <v>9000</v>
      </c>
      <c r="B8" s="24">
        <v>10000</v>
      </c>
      <c r="C8" s="25">
        <v>3500</v>
      </c>
      <c r="K8">
        <f>INDEX(OutputValues,4,$J$4)</f>
        <v>10000</v>
      </c>
    </row>
    <row r="9" spans="1:11" x14ac:dyDescent="0.25">
      <c r="A9" s="18">
        <v>9500</v>
      </c>
      <c r="B9" s="24">
        <v>10000</v>
      </c>
      <c r="C9" s="25">
        <v>3500</v>
      </c>
      <c r="K9">
        <f>INDEX(OutputValues,5,$J$4)</f>
        <v>10000</v>
      </c>
    </row>
    <row r="10" spans="1:11" x14ac:dyDescent="0.25">
      <c r="A10" s="18">
        <v>10000</v>
      </c>
      <c r="B10" s="24">
        <v>10000</v>
      </c>
      <c r="C10" s="25">
        <v>3500</v>
      </c>
      <c r="K10">
        <f>INDEX(OutputValues,6,$J$4)</f>
        <v>10000</v>
      </c>
    </row>
    <row r="11" spans="1:11" x14ac:dyDescent="0.25">
      <c r="A11" s="18">
        <v>10500</v>
      </c>
      <c r="B11" s="24">
        <v>12000</v>
      </c>
      <c r="C11" s="25">
        <v>4500</v>
      </c>
      <c r="K11">
        <f>INDEX(OutputValues,7,$J$4)</f>
        <v>12000</v>
      </c>
    </row>
    <row r="12" spans="1:11" x14ac:dyDescent="0.25">
      <c r="A12" s="18">
        <v>11000</v>
      </c>
      <c r="B12" s="24">
        <v>12000</v>
      </c>
      <c r="C12" s="25">
        <v>4500</v>
      </c>
      <c r="K12">
        <f>INDEX(OutputValues,8,$J$4)</f>
        <v>12000</v>
      </c>
    </row>
    <row r="13" spans="1:11" x14ac:dyDescent="0.25">
      <c r="A13" s="18">
        <v>11500</v>
      </c>
      <c r="B13" s="24">
        <v>12000</v>
      </c>
      <c r="C13" s="25">
        <v>4500</v>
      </c>
      <c r="K13">
        <f>INDEX(OutputValues,9,$J$4)</f>
        <v>12000</v>
      </c>
    </row>
    <row r="14" spans="1:11" x14ac:dyDescent="0.25">
      <c r="A14" s="18">
        <v>12000</v>
      </c>
      <c r="B14" s="24">
        <v>12000</v>
      </c>
      <c r="C14" s="25">
        <v>4500</v>
      </c>
      <c r="K14">
        <f>INDEX(OutputValues,10,$J$4)</f>
        <v>12000</v>
      </c>
    </row>
    <row r="15" spans="1:11" x14ac:dyDescent="0.25">
      <c r="A15" s="18">
        <v>12500</v>
      </c>
      <c r="B15" s="24">
        <v>16000</v>
      </c>
      <c r="C15" s="25">
        <v>5000</v>
      </c>
      <c r="K15">
        <f>INDEX(OutputValues,11,$J$4)</f>
        <v>16000</v>
      </c>
    </row>
    <row r="16" spans="1:11" x14ac:dyDescent="0.25">
      <c r="A16" s="18">
        <v>13000</v>
      </c>
      <c r="B16" s="24">
        <v>16000</v>
      </c>
      <c r="C16" s="25">
        <v>5000</v>
      </c>
      <c r="K16">
        <f>INDEX(OutputValues,12,$J$4)</f>
        <v>16000</v>
      </c>
    </row>
    <row r="17" spans="1:11" x14ac:dyDescent="0.25">
      <c r="A17" s="18">
        <v>13500</v>
      </c>
      <c r="B17" s="24">
        <v>16000</v>
      </c>
      <c r="C17" s="25">
        <v>5000</v>
      </c>
      <c r="K17">
        <f>INDEX(OutputValues,13,$J$4)</f>
        <v>16000</v>
      </c>
    </row>
    <row r="18" spans="1:11" x14ac:dyDescent="0.25">
      <c r="A18" s="18">
        <v>14000</v>
      </c>
      <c r="B18" s="24">
        <v>16000</v>
      </c>
      <c r="C18" s="25">
        <v>5000</v>
      </c>
      <c r="K18">
        <f>INDEX(OutputValues,14,$J$4)</f>
        <v>16000</v>
      </c>
    </row>
    <row r="19" spans="1:11" x14ac:dyDescent="0.25">
      <c r="A19" s="18">
        <v>14500</v>
      </c>
      <c r="B19" s="24">
        <v>16000</v>
      </c>
      <c r="C19" s="25">
        <v>5000</v>
      </c>
      <c r="K19">
        <f>INDEX(OutputValues,15,$J$4)</f>
        <v>16000</v>
      </c>
    </row>
    <row r="20" spans="1:11" x14ac:dyDescent="0.25">
      <c r="A20" s="18">
        <v>15000</v>
      </c>
      <c r="B20" s="24">
        <v>16000</v>
      </c>
      <c r="C20" s="25">
        <v>5000</v>
      </c>
      <c r="K20">
        <f>INDEX(OutputValues,16,$J$4)</f>
        <v>16000</v>
      </c>
    </row>
    <row r="21" spans="1:11" x14ac:dyDescent="0.25">
      <c r="A21" s="18">
        <v>15500</v>
      </c>
      <c r="B21" s="24">
        <v>16000</v>
      </c>
      <c r="C21" s="25">
        <v>5000</v>
      </c>
      <c r="K21">
        <f>INDEX(OutputValues,17,$J$4)</f>
        <v>16000</v>
      </c>
    </row>
    <row r="22" spans="1:11" x14ac:dyDescent="0.25">
      <c r="A22" s="18">
        <v>16000</v>
      </c>
      <c r="B22" s="24">
        <v>16000</v>
      </c>
      <c r="C22" s="25">
        <v>5000</v>
      </c>
      <c r="K22">
        <f>INDEX(OutputValues,18,$J$4)</f>
        <v>16000</v>
      </c>
    </row>
    <row r="23" spans="1:11" x14ac:dyDescent="0.25">
      <c r="A23" s="18">
        <v>16500</v>
      </c>
      <c r="B23" s="24">
        <v>18000</v>
      </c>
      <c r="C23" s="25">
        <v>6000</v>
      </c>
      <c r="K23">
        <f>INDEX(OutputValues,19,$J$4)</f>
        <v>18000</v>
      </c>
    </row>
    <row r="24" spans="1:11" x14ac:dyDescent="0.25">
      <c r="A24" s="18">
        <v>17000</v>
      </c>
      <c r="B24" s="24">
        <v>18000</v>
      </c>
      <c r="C24" s="25">
        <v>6000</v>
      </c>
      <c r="K24">
        <f>INDEX(OutputValues,20,$J$4)</f>
        <v>18000</v>
      </c>
    </row>
    <row r="25" spans="1:11" x14ac:dyDescent="0.25">
      <c r="A25" s="18">
        <v>17500</v>
      </c>
      <c r="B25" s="24">
        <v>18000</v>
      </c>
      <c r="C25" s="25">
        <v>6000</v>
      </c>
      <c r="K25">
        <f>INDEX(OutputValues,21,$J$4)</f>
        <v>18000</v>
      </c>
    </row>
    <row r="26" spans="1:11" x14ac:dyDescent="0.25">
      <c r="A26" s="18">
        <v>18000</v>
      </c>
      <c r="B26" s="24">
        <v>18000</v>
      </c>
      <c r="C26" s="25">
        <v>6000</v>
      </c>
      <c r="K26">
        <f>INDEX(OutputValues,22,$J$4)</f>
        <v>18000</v>
      </c>
    </row>
    <row r="27" spans="1:11" x14ac:dyDescent="0.25">
      <c r="A27" s="18">
        <v>18500</v>
      </c>
      <c r="B27" s="24">
        <v>19500</v>
      </c>
      <c r="C27" s="25">
        <v>6000</v>
      </c>
      <c r="K27">
        <f>INDEX(OutputValues,23,$J$4)</f>
        <v>19500</v>
      </c>
    </row>
    <row r="28" spans="1:11" x14ac:dyDescent="0.25">
      <c r="A28" s="18">
        <v>19000</v>
      </c>
      <c r="B28" s="24">
        <v>19500</v>
      </c>
      <c r="C28" s="25">
        <v>6000</v>
      </c>
      <c r="K28">
        <f>INDEX(OutputValues,24,$J$4)</f>
        <v>19500</v>
      </c>
    </row>
    <row r="29" spans="1:11" x14ac:dyDescent="0.25">
      <c r="A29" s="18">
        <v>19500</v>
      </c>
      <c r="B29" s="24">
        <v>19500</v>
      </c>
      <c r="C29" s="25">
        <v>6000</v>
      </c>
      <c r="K29">
        <f>INDEX(OutputValues,25,$J$4)</f>
        <v>19500</v>
      </c>
    </row>
    <row r="30" spans="1:11" x14ac:dyDescent="0.25">
      <c r="A30" s="18">
        <v>20000</v>
      </c>
      <c r="B30" s="24">
        <v>20000</v>
      </c>
      <c r="C30" s="25">
        <v>7000</v>
      </c>
      <c r="K30">
        <f>INDEX(OutputValues,26,$J$4)</f>
        <v>20000</v>
      </c>
    </row>
    <row r="31" spans="1:11" x14ac:dyDescent="0.25">
      <c r="A31" s="18">
        <v>20500</v>
      </c>
      <c r="B31" s="24">
        <v>22000</v>
      </c>
      <c r="C31" s="25">
        <v>7000</v>
      </c>
      <c r="K31">
        <f>INDEX(OutputValues,27,$J$4)</f>
        <v>22000</v>
      </c>
    </row>
    <row r="32" spans="1:11" x14ac:dyDescent="0.25">
      <c r="A32" s="18">
        <v>21000</v>
      </c>
      <c r="B32" s="24">
        <v>22000</v>
      </c>
      <c r="C32" s="25">
        <v>7000</v>
      </c>
      <c r="K32">
        <f>INDEX(OutputValues,28,$J$4)</f>
        <v>22000</v>
      </c>
    </row>
    <row r="33" spans="1:11" x14ac:dyDescent="0.25">
      <c r="A33" s="18">
        <v>21500</v>
      </c>
      <c r="B33" s="24">
        <v>22000</v>
      </c>
      <c r="C33" s="25">
        <v>7000</v>
      </c>
      <c r="K33">
        <f>INDEX(OutputValues,29,$J$4)</f>
        <v>22000</v>
      </c>
    </row>
    <row r="34" spans="1:11" x14ac:dyDescent="0.25">
      <c r="A34" s="18">
        <v>22000</v>
      </c>
      <c r="B34" s="24">
        <v>22000</v>
      </c>
      <c r="C34" s="25">
        <v>7000</v>
      </c>
      <c r="K34">
        <f>INDEX(OutputValues,30,$J$4)</f>
        <v>22000</v>
      </c>
    </row>
    <row r="35" spans="1:11" x14ac:dyDescent="0.25">
      <c r="A35" s="18">
        <v>22500</v>
      </c>
      <c r="B35" s="24">
        <v>24000</v>
      </c>
      <c r="C35" s="25">
        <v>7500</v>
      </c>
      <c r="K35">
        <f>INDEX(OutputValues,31,$J$4)</f>
        <v>24000</v>
      </c>
    </row>
    <row r="36" spans="1:11" x14ac:dyDescent="0.25">
      <c r="A36" s="18">
        <v>23000</v>
      </c>
      <c r="B36" s="24">
        <v>24000</v>
      </c>
      <c r="C36" s="25">
        <v>7500</v>
      </c>
      <c r="K36">
        <f>INDEX(OutputValues,32,$J$4)</f>
        <v>24000</v>
      </c>
    </row>
    <row r="37" spans="1:11" x14ac:dyDescent="0.25">
      <c r="A37" s="18">
        <v>23500</v>
      </c>
      <c r="B37" s="24">
        <v>24000</v>
      </c>
      <c r="C37" s="25">
        <v>7500</v>
      </c>
      <c r="K37">
        <f>INDEX(OutputValues,33,$J$4)</f>
        <v>24000</v>
      </c>
    </row>
    <row r="38" spans="1:11" x14ac:dyDescent="0.25">
      <c r="A38" s="18">
        <v>24000</v>
      </c>
      <c r="B38" s="24">
        <v>24000</v>
      </c>
      <c r="C38" s="25">
        <v>7500</v>
      </c>
      <c r="K38">
        <f>INDEX(OutputValues,34,$J$4)</f>
        <v>24000</v>
      </c>
    </row>
    <row r="39" spans="1:11" x14ac:dyDescent="0.25">
      <c r="A39" s="18">
        <v>24500</v>
      </c>
      <c r="B39" s="24">
        <v>26000</v>
      </c>
      <c r="C39" s="25">
        <v>8500</v>
      </c>
      <c r="K39">
        <f>INDEX(OutputValues,35,$J$4)</f>
        <v>26000</v>
      </c>
    </row>
    <row r="40" spans="1:11" x14ac:dyDescent="0.25">
      <c r="A40" s="18">
        <v>25000</v>
      </c>
      <c r="B40" s="24">
        <v>26000</v>
      </c>
      <c r="C40" s="25">
        <v>8500</v>
      </c>
      <c r="K40">
        <f>INDEX(OutputValues,36,$J$4)</f>
        <v>26000</v>
      </c>
    </row>
    <row r="41" spans="1:11" x14ac:dyDescent="0.25">
      <c r="A41" s="18">
        <v>25500</v>
      </c>
      <c r="B41" s="24">
        <v>26000</v>
      </c>
      <c r="C41" s="25">
        <v>8500</v>
      </c>
      <c r="K41">
        <f>INDEX(OutputValues,37,$J$4)</f>
        <v>26000</v>
      </c>
    </row>
    <row r="42" spans="1:11" x14ac:dyDescent="0.25">
      <c r="A42" s="18">
        <v>26000</v>
      </c>
      <c r="B42" s="24">
        <v>26000</v>
      </c>
      <c r="C42" s="25">
        <v>8500</v>
      </c>
      <c r="K42">
        <f>INDEX(OutputValues,38,$J$4)</f>
        <v>26000</v>
      </c>
    </row>
    <row r="43" spans="1:11" x14ac:dyDescent="0.25">
      <c r="A43" s="18">
        <v>26500</v>
      </c>
      <c r="B43" s="24">
        <v>27500</v>
      </c>
      <c r="C43" s="25">
        <v>8500</v>
      </c>
      <c r="K43">
        <f>INDEX(OutputValues,39,$J$4)</f>
        <v>27500</v>
      </c>
    </row>
    <row r="44" spans="1:11" x14ac:dyDescent="0.25">
      <c r="A44" s="18">
        <v>27000</v>
      </c>
      <c r="B44" s="24">
        <v>27500</v>
      </c>
      <c r="C44" s="25">
        <v>8500</v>
      </c>
      <c r="K44">
        <f>INDEX(OutputValues,40,$J$4)</f>
        <v>27500</v>
      </c>
    </row>
    <row r="45" spans="1:11" x14ac:dyDescent="0.25">
      <c r="A45" s="18">
        <v>27500</v>
      </c>
      <c r="B45" s="24">
        <v>27500</v>
      </c>
      <c r="C45" s="25">
        <v>8500</v>
      </c>
      <c r="K45">
        <f>INDEX(OutputValues,41,$J$4)</f>
        <v>27500</v>
      </c>
    </row>
    <row r="46" spans="1:11" x14ac:dyDescent="0.25">
      <c r="A46" s="18">
        <v>28000</v>
      </c>
      <c r="B46" s="24">
        <v>29500</v>
      </c>
      <c r="C46" s="25">
        <v>9500</v>
      </c>
      <c r="K46">
        <f>INDEX(OutputValues,42,$J$4)</f>
        <v>29500</v>
      </c>
    </row>
    <row r="47" spans="1:11" x14ac:dyDescent="0.25">
      <c r="A47" s="18">
        <v>28500</v>
      </c>
      <c r="B47" s="24">
        <v>29500</v>
      </c>
      <c r="C47" s="25">
        <v>9500</v>
      </c>
      <c r="K47">
        <f>INDEX(OutputValues,43,$J$4)</f>
        <v>29500</v>
      </c>
    </row>
    <row r="48" spans="1:11" x14ac:dyDescent="0.25">
      <c r="A48" s="18">
        <v>29000</v>
      </c>
      <c r="B48" s="24">
        <v>29500</v>
      </c>
      <c r="C48" s="25">
        <v>9500</v>
      </c>
      <c r="K48">
        <f>INDEX(OutputValues,44,$J$4)</f>
        <v>29500</v>
      </c>
    </row>
    <row r="49" spans="1:11" x14ac:dyDescent="0.25">
      <c r="A49" s="18">
        <v>29500</v>
      </c>
      <c r="B49" s="24">
        <v>30000</v>
      </c>
      <c r="C49" s="25">
        <v>9500</v>
      </c>
      <c r="K49">
        <f>INDEX(OutputValues,45,$J$4)</f>
        <v>30000</v>
      </c>
    </row>
    <row r="50" spans="1:11" x14ac:dyDescent="0.25">
      <c r="A50" s="18">
        <v>30000</v>
      </c>
      <c r="B50" s="24">
        <v>30000</v>
      </c>
      <c r="C50" s="25">
        <v>9500</v>
      </c>
      <c r="K50">
        <f>INDEX(OutputValues,46,$J$4)</f>
        <v>30000</v>
      </c>
    </row>
    <row r="51" spans="1:11" x14ac:dyDescent="0.25">
      <c r="A51" s="18">
        <v>30500</v>
      </c>
      <c r="B51" s="24">
        <v>31500</v>
      </c>
      <c r="C51" s="25">
        <v>10500</v>
      </c>
      <c r="K51">
        <f>INDEX(OutputValues,47,$J$4)</f>
        <v>31500</v>
      </c>
    </row>
    <row r="52" spans="1:11" x14ac:dyDescent="0.25">
      <c r="A52" s="18">
        <v>31000</v>
      </c>
      <c r="B52" s="24">
        <v>32000</v>
      </c>
      <c r="C52" s="25">
        <v>10500</v>
      </c>
      <c r="K52">
        <f>INDEX(OutputValues,48,$J$4)</f>
        <v>32000</v>
      </c>
    </row>
    <row r="53" spans="1:11" x14ac:dyDescent="0.25">
      <c r="A53" s="18">
        <v>31500</v>
      </c>
      <c r="B53" s="24">
        <v>32000</v>
      </c>
      <c r="C53" s="25">
        <v>10500</v>
      </c>
      <c r="K53">
        <f>INDEX(OutputValues,49,$J$4)</f>
        <v>32000</v>
      </c>
    </row>
    <row r="54" spans="1:11" x14ac:dyDescent="0.25">
      <c r="A54" s="18">
        <v>32000</v>
      </c>
      <c r="B54" s="24">
        <v>32000</v>
      </c>
      <c r="C54" s="25">
        <v>10500</v>
      </c>
      <c r="K54">
        <f>INDEX(OutputValues,50,$J$4)</f>
        <v>32000</v>
      </c>
    </row>
    <row r="55" spans="1:11" x14ac:dyDescent="0.25">
      <c r="A55" s="18">
        <v>32500</v>
      </c>
      <c r="B55" s="24">
        <v>34000</v>
      </c>
      <c r="C55" s="25">
        <v>11000</v>
      </c>
      <c r="K55">
        <f>INDEX(OutputValues,51,$J$4)</f>
        <v>34000</v>
      </c>
    </row>
    <row r="56" spans="1:11" x14ac:dyDescent="0.25">
      <c r="A56" s="18">
        <v>33000</v>
      </c>
      <c r="B56" s="24">
        <v>34000</v>
      </c>
      <c r="C56" s="25">
        <v>11000</v>
      </c>
      <c r="K56">
        <f>INDEX(OutputValues,52,$J$4)</f>
        <v>34000</v>
      </c>
    </row>
    <row r="57" spans="1:11" x14ac:dyDescent="0.25">
      <c r="A57" s="18">
        <v>33500</v>
      </c>
      <c r="B57" s="24">
        <v>34000</v>
      </c>
      <c r="C57" s="25">
        <v>11000</v>
      </c>
      <c r="K57">
        <f>INDEX(OutputValues,53,$J$4)</f>
        <v>34000</v>
      </c>
    </row>
    <row r="58" spans="1:11" x14ac:dyDescent="0.25">
      <c r="A58" s="18">
        <v>34000</v>
      </c>
      <c r="B58" s="24">
        <v>34000</v>
      </c>
      <c r="C58" s="25">
        <v>11000</v>
      </c>
      <c r="K58">
        <f>INDEX(OutputValues,54,$J$4)</f>
        <v>34000</v>
      </c>
    </row>
    <row r="59" spans="1:11" x14ac:dyDescent="0.25">
      <c r="A59" s="18">
        <v>34500</v>
      </c>
      <c r="B59" s="24">
        <v>35500</v>
      </c>
      <c r="C59" s="25">
        <v>11000</v>
      </c>
      <c r="K59">
        <f>INDEX(OutputValues,55,$J$4)</f>
        <v>35500</v>
      </c>
    </row>
    <row r="60" spans="1:11" x14ac:dyDescent="0.25">
      <c r="A60" s="18">
        <v>35000</v>
      </c>
      <c r="B60" s="24">
        <v>35500</v>
      </c>
      <c r="C60" s="25">
        <v>11000</v>
      </c>
      <c r="K60">
        <f>INDEX(OutputValues,56,$J$4)</f>
        <v>35500</v>
      </c>
    </row>
    <row r="61" spans="1:11" x14ac:dyDescent="0.25">
      <c r="A61" s="18">
        <v>35500</v>
      </c>
      <c r="B61" s="24">
        <v>35500</v>
      </c>
      <c r="C61" s="25">
        <v>11000</v>
      </c>
      <c r="K61">
        <f>INDEX(OutputValues,57,$J$4)</f>
        <v>35500</v>
      </c>
    </row>
    <row r="62" spans="1:11" x14ac:dyDescent="0.25">
      <c r="A62" s="18">
        <v>36000</v>
      </c>
      <c r="B62" s="24">
        <v>37500</v>
      </c>
      <c r="C62" s="25">
        <v>12000</v>
      </c>
      <c r="K62">
        <f>INDEX(OutputValues,58,$J$4)</f>
        <v>37500</v>
      </c>
    </row>
    <row r="63" spans="1:11" x14ac:dyDescent="0.25">
      <c r="A63" s="18">
        <v>36500</v>
      </c>
      <c r="B63" s="24">
        <v>37500</v>
      </c>
      <c r="C63" s="25">
        <v>12000</v>
      </c>
      <c r="K63">
        <f>INDEX(OutputValues,59,$J$4)</f>
        <v>37500</v>
      </c>
    </row>
    <row r="64" spans="1:11" x14ac:dyDescent="0.25">
      <c r="A64" s="18">
        <v>37000</v>
      </c>
      <c r="B64" s="24">
        <v>37500</v>
      </c>
      <c r="C64" s="25">
        <v>12000</v>
      </c>
      <c r="K64">
        <f>INDEX(OutputValues,60,$J$4)</f>
        <v>37500</v>
      </c>
    </row>
    <row r="65" spans="1:11" x14ac:dyDescent="0.25">
      <c r="A65" s="18">
        <v>37500</v>
      </c>
      <c r="B65" s="24">
        <v>37500</v>
      </c>
      <c r="C65" s="25">
        <v>12000</v>
      </c>
      <c r="K65">
        <f>INDEX(OutputValues,61,$J$4)</f>
        <v>37500</v>
      </c>
    </row>
    <row r="66" spans="1:11" x14ac:dyDescent="0.25">
      <c r="A66" s="18">
        <v>38000</v>
      </c>
      <c r="B66" s="24">
        <v>38000</v>
      </c>
      <c r="C66" s="25">
        <v>12000</v>
      </c>
      <c r="K66">
        <f>INDEX(OutputValues,62,$J$4)</f>
        <v>38000</v>
      </c>
    </row>
    <row r="67" spans="1:11" x14ac:dyDescent="0.25">
      <c r="A67" s="18">
        <v>38500</v>
      </c>
      <c r="B67" s="24">
        <v>39500</v>
      </c>
      <c r="C67" s="25">
        <v>13000</v>
      </c>
      <c r="K67">
        <f>INDEX(OutputValues,63,$J$4)</f>
        <v>39500</v>
      </c>
    </row>
    <row r="68" spans="1:11" x14ac:dyDescent="0.25">
      <c r="A68" s="18">
        <v>39000</v>
      </c>
      <c r="B68" s="24">
        <v>39500</v>
      </c>
      <c r="C68" s="25">
        <v>13000</v>
      </c>
      <c r="K68">
        <f>INDEX(OutputValues,64,$J$4)</f>
        <v>39500</v>
      </c>
    </row>
    <row r="69" spans="1:11" x14ac:dyDescent="0.25">
      <c r="A69" s="18">
        <v>39500</v>
      </c>
      <c r="B69" s="24">
        <v>40000</v>
      </c>
      <c r="C69" s="25">
        <v>13000</v>
      </c>
      <c r="K69">
        <f>INDEX(OutputValues,65,$J$4)</f>
        <v>40000</v>
      </c>
    </row>
    <row r="70" spans="1:11" x14ac:dyDescent="0.25">
      <c r="A70" s="18">
        <v>40000</v>
      </c>
      <c r="B70" s="24">
        <v>40000</v>
      </c>
      <c r="C70" s="25">
        <v>13000</v>
      </c>
      <c r="K70">
        <f>INDEX(OutputValues,66,$J$4)</f>
        <v>40000</v>
      </c>
    </row>
    <row r="71" spans="1:11" x14ac:dyDescent="0.25">
      <c r="A71" s="18">
        <v>40500</v>
      </c>
      <c r="B71" s="24">
        <v>41500</v>
      </c>
      <c r="C71" s="25">
        <v>13000</v>
      </c>
      <c r="K71">
        <f>INDEX(OutputValues,67,$J$4)</f>
        <v>41500</v>
      </c>
    </row>
    <row r="72" spans="1:11" x14ac:dyDescent="0.25">
      <c r="A72" s="18">
        <v>41000</v>
      </c>
      <c r="B72" s="24">
        <v>41500</v>
      </c>
      <c r="C72" s="25">
        <v>13000</v>
      </c>
      <c r="K72">
        <f>INDEX(OutputValues,68,$J$4)</f>
        <v>41500</v>
      </c>
    </row>
    <row r="73" spans="1:11" x14ac:dyDescent="0.25">
      <c r="A73" s="18">
        <v>41500</v>
      </c>
      <c r="B73" s="24">
        <v>41500</v>
      </c>
      <c r="C73" s="25">
        <v>13000</v>
      </c>
      <c r="K73">
        <f>INDEX(OutputValues,69,$J$4)</f>
        <v>41500</v>
      </c>
    </row>
    <row r="74" spans="1:11" x14ac:dyDescent="0.25">
      <c r="A74" s="18">
        <v>42000</v>
      </c>
      <c r="B74" s="24">
        <v>43500</v>
      </c>
      <c r="C74" s="25">
        <v>13500</v>
      </c>
      <c r="K74">
        <f>INDEX(OutputValues,70,$J$4)</f>
        <v>43500</v>
      </c>
    </row>
    <row r="75" spans="1:11" x14ac:dyDescent="0.25">
      <c r="A75" s="18">
        <v>42500</v>
      </c>
      <c r="B75" s="24">
        <v>43500</v>
      </c>
      <c r="C75" s="25">
        <v>13500</v>
      </c>
      <c r="K75">
        <f>INDEX(OutputValues,71,$J$4)</f>
        <v>43500</v>
      </c>
    </row>
    <row r="76" spans="1:11" x14ac:dyDescent="0.25">
      <c r="A76" s="18">
        <v>43000</v>
      </c>
      <c r="B76" s="24">
        <v>43500</v>
      </c>
      <c r="C76" s="25">
        <v>13500</v>
      </c>
      <c r="K76">
        <f>INDEX(OutputValues,72,$J$4)</f>
        <v>43500</v>
      </c>
    </row>
    <row r="77" spans="1:11" x14ac:dyDescent="0.25">
      <c r="A77" s="18">
        <v>43500</v>
      </c>
      <c r="B77" s="24">
        <v>43500</v>
      </c>
      <c r="C77" s="25">
        <v>13500</v>
      </c>
      <c r="K77">
        <f>INDEX(OutputValues,73,$J$4)</f>
        <v>43500</v>
      </c>
    </row>
    <row r="78" spans="1:11" x14ac:dyDescent="0.25">
      <c r="A78" s="18">
        <v>44000</v>
      </c>
      <c r="B78" s="24">
        <v>46000</v>
      </c>
      <c r="C78" s="25">
        <v>14500</v>
      </c>
      <c r="K78">
        <f>INDEX(OutputValues,74,$J$4)</f>
        <v>46000</v>
      </c>
    </row>
    <row r="79" spans="1:11" x14ac:dyDescent="0.25">
      <c r="A79" s="18">
        <v>44500</v>
      </c>
      <c r="B79" s="24">
        <v>46000</v>
      </c>
      <c r="C79" s="25">
        <v>14500</v>
      </c>
      <c r="K79">
        <f>INDEX(OutputValues,75,$J$4)</f>
        <v>46000</v>
      </c>
    </row>
    <row r="80" spans="1:11" x14ac:dyDescent="0.25">
      <c r="A80" s="18">
        <v>45000</v>
      </c>
      <c r="B80" s="24">
        <v>46000</v>
      </c>
      <c r="C80" s="25">
        <v>14500</v>
      </c>
      <c r="K80">
        <f>INDEX(OutputValues,76,$J$4)</f>
        <v>46000</v>
      </c>
    </row>
    <row r="81" spans="1:11" x14ac:dyDescent="0.25">
      <c r="A81" s="18">
        <v>45500</v>
      </c>
      <c r="B81" s="24">
        <v>46000</v>
      </c>
      <c r="C81" s="25">
        <v>14500</v>
      </c>
      <c r="K81">
        <f>INDEX(OutputValues,77,$J$4)</f>
        <v>46000</v>
      </c>
    </row>
    <row r="82" spans="1:11" x14ac:dyDescent="0.25">
      <c r="A82" s="18">
        <v>46000</v>
      </c>
      <c r="B82" s="24">
        <v>46000</v>
      </c>
      <c r="C82" s="25">
        <v>14500</v>
      </c>
      <c r="K82">
        <f>INDEX(OutputValues,78,$J$4)</f>
        <v>46000</v>
      </c>
    </row>
    <row r="83" spans="1:11" x14ac:dyDescent="0.25">
      <c r="A83" s="18">
        <v>46500</v>
      </c>
      <c r="B83" s="24">
        <v>49500</v>
      </c>
      <c r="C83" s="25">
        <v>15500</v>
      </c>
      <c r="K83">
        <f>INDEX(OutputValues,79,$J$4)</f>
        <v>49500</v>
      </c>
    </row>
    <row r="84" spans="1:11" x14ac:dyDescent="0.25">
      <c r="A84" s="18">
        <v>47000</v>
      </c>
      <c r="B84" s="24">
        <v>48000</v>
      </c>
      <c r="C84" s="25">
        <v>15500</v>
      </c>
      <c r="K84">
        <f>INDEX(OutputValues,80,$J$4)</f>
        <v>48000</v>
      </c>
    </row>
    <row r="85" spans="1:11" x14ac:dyDescent="0.25">
      <c r="A85" s="18">
        <v>47500</v>
      </c>
      <c r="B85" s="24">
        <v>49500</v>
      </c>
      <c r="C85" s="25">
        <v>15500</v>
      </c>
      <c r="K85">
        <f>INDEX(OutputValues,81,$J$4)</f>
        <v>49500</v>
      </c>
    </row>
    <row r="86" spans="1:11" x14ac:dyDescent="0.25">
      <c r="A86" s="18">
        <v>48000</v>
      </c>
      <c r="B86" s="24">
        <v>49500</v>
      </c>
      <c r="C86" s="25">
        <v>15500</v>
      </c>
      <c r="K86">
        <f>INDEX(OutputValues,82,$J$4)</f>
        <v>49500</v>
      </c>
    </row>
    <row r="87" spans="1:11" x14ac:dyDescent="0.25">
      <c r="A87" s="18">
        <v>48500</v>
      </c>
      <c r="B87" s="24">
        <v>49500</v>
      </c>
      <c r="C87" s="25">
        <v>15500</v>
      </c>
      <c r="K87">
        <f>INDEX(OutputValues,83,$J$4)</f>
        <v>49500</v>
      </c>
    </row>
    <row r="88" spans="1:11" x14ac:dyDescent="0.25">
      <c r="A88" s="18">
        <v>49000</v>
      </c>
      <c r="B88" s="24">
        <v>49500</v>
      </c>
      <c r="C88" s="25">
        <v>15500</v>
      </c>
      <c r="K88">
        <f>INDEX(OutputValues,84,$J$4)</f>
        <v>49500</v>
      </c>
    </row>
    <row r="89" spans="1:11" x14ac:dyDescent="0.25">
      <c r="A89" s="18">
        <v>49500</v>
      </c>
      <c r="B89" s="24">
        <v>49500</v>
      </c>
      <c r="C89" s="25">
        <v>15500</v>
      </c>
      <c r="K89">
        <f>INDEX(OutputValues,85,$J$4)</f>
        <v>49500</v>
      </c>
    </row>
    <row r="90" spans="1:11" x14ac:dyDescent="0.25">
      <c r="A90" s="18">
        <v>50000</v>
      </c>
      <c r="B90" s="24">
        <v>50000</v>
      </c>
      <c r="C90" s="25">
        <v>16500</v>
      </c>
      <c r="K90">
        <f>INDEX(OutputValues,86,$J$4)</f>
        <v>50000</v>
      </c>
    </row>
    <row r="91" spans="1:11" x14ac:dyDescent="0.25">
      <c r="A91" s="18">
        <v>50500</v>
      </c>
      <c r="B91" s="24">
        <v>51500</v>
      </c>
      <c r="C91" s="25">
        <v>16500</v>
      </c>
      <c r="K91">
        <f>INDEX(OutputValues,87,$J$4)</f>
        <v>51500</v>
      </c>
    </row>
    <row r="92" spans="1:11" x14ac:dyDescent="0.25">
      <c r="A92" s="18">
        <v>51000</v>
      </c>
      <c r="B92" s="24">
        <v>51500</v>
      </c>
      <c r="C92" s="25">
        <v>16500</v>
      </c>
      <c r="K92">
        <f>INDEX(OutputValues,88,$J$4)</f>
        <v>51500</v>
      </c>
    </row>
    <row r="93" spans="1:11" x14ac:dyDescent="0.25">
      <c r="A93" s="18">
        <v>51500</v>
      </c>
      <c r="B93" s="24">
        <v>51500</v>
      </c>
      <c r="C93" s="25">
        <v>16500</v>
      </c>
      <c r="K93">
        <f>INDEX(OutputValues,89,$J$4)</f>
        <v>51500</v>
      </c>
    </row>
    <row r="94" spans="1:11" x14ac:dyDescent="0.25">
      <c r="A94" s="18">
        <v>52000</v>
      </c>
      <c r="B94" s="24">
        <v>53500</v>
      </c>
      <c r="C94" s="25">
        <v>17000</v>
      </c>
      <c r="K94">
        <f>INDEX(OutputValues,90,$J$4)</f>
        <v>53500</v>
      </c>
    </row>
    <row r="95" spans="1:11" x14ac:dyDescent="0.25">
      <c r="A95" s="18">
        <v>52500</v>
      </c>
      <c r="B95" s="24">
        <v>53500</v>
      </c>
      <c r="C95" s="25">
        <v>17000</v>
      </c>
      <c r="K95">
        <f>INDEX(OutputValues,91,$J$4)</f>
        <v>53500</v>
      </c>
    </row>
    <row r="96" spans="1:11" x14ac:dyDescent="0.25">
      <c r="A96" s="18">
        <v>53000</v>
      </c>
      <c r="B96" s="24">
        <v>53500</v>
      </c>
      <c r="C96" s="25">
        <v>17000</v>
      </c>
      <c r="K96">
        <f>INDEX(OutputValues,92,$J$4)</f>
        <v>53500</v>
      </c>
    </row>
    <row r="97" spans="1:11" x14ac:dyDescent="0.25">
      <c r="A97" s="18">
        <v>53500</v>
      </c>
      <c r="B97" s="24">
        <v>53500</v>
      </c>
      <c r="C97" s="25">
        <v>17000</v>
      </c>
      <c r="K97">
        <f>INDEX(OutputValues,93,$J$4)</f>
        <v>53500</v>
      </c>
    </row>
    <row r="98" spans="1:11" x14ac:dyDescent="0.25">
      <c r="A98" s="18">
        <v>54000</v>
      </c>
      <c r="B98" s="24">
        <v>55500</v>
      </c>
      <c r="C98" s="25">
        <v>18000</v>
      </c>
      <c r="K98">
        <f>INDEX(OutputValues,94,$J$4)</f>
        <v>55500</v>
      </c>
    </row>
    <row r="99" spans="1:11" x14ac:dyDescent="0.25">
      <c r="A99" s="18">
        <v>54500</v>
      </c>
      <c r="B99" s="24">
        <v>55500</v>
      </c>
      <c r="C99" s="25">
        <v>18000</v>
      </c>
      <c r="K99">
        <f>INDEX(OutputValues,95,$J$4)</f>
        <v>55500</v>
      </c>
    </row>
    <row r="100" spans="1:11" x14ac:dyDescent="0.25">
      <c r="A100" s="18">
        <v>55000</v>
      </c>
      <c r="B100" s="24">
        <v>55500</v>
      </c>
      <c r="C100" s="25">
        <v>18000</v>
      </c>
      <c r="K100">
        <f>INDEX(OutputValues,96,$J$4)</f>
        <v>55500</v>
      </c>
    </row>
    <row r="101" spans="1:11" x14ac:dyDescent="0.25">
      <c r="A101" s="18">
        <v>55500</v>
      </c>
      <c r="B101" s="24">
        <v>57500</v>
      </c>
      <c r="C101" s="25">
        <v>18000</v>
      </c>
      <c r="K101">
        <f>INDEX(OutputValues,97,$J$4)</f>
        <v>57500</v>
      </c>
    </row>
    <row r="102" spans="1:11" x14ac:dyDescent="0.25">
      <c r="A102" s="18">
        <v>56000</v>
      </c>
      <c r="B102" s="24">
        <v>57500</v>
      </c>
      <c r="C102" s="25">
        <v>18000</v>
      </c>
      <c r="K102">
        <f>INDEX(OutputValues,98,$J$4)</f>
        <v>57500</v>
      </c>
    </row>
    <row r="103" spans="1:11" x14ac:dyDescent="0.25">
      <c r="A103" s="18">
        <v>56500</v>
      </c>
      <c r="B103" s="24">
        <v>57500</v>
      </c>
      <c r="C103" s="25">
        <v>18000</v>
      </c>
      <c r="K103">
        <f>INDEX(OutputValues,99,$J$4)</f>
        <v>57500</v>
      </c>
    </row>
    <row r="104" spans="1:11" x14ac:dyDescent="0.25">
      <c r="A104" s="18">
        <v>57000</v>
      </c>
      <c r="B104" s="24">
        <v>57500</v>
      </c>
      <c r="C104" s="25">
        <v>18000</v>
      </c>
      <c r="K104">
        <f>INDEX(OutputValues,100,$J$4)</f>
        <v>57500</v>
      </c>
    </row>
    <row r="105" spans="1:11" x14ac:dyDescent="0.25">
      <c r="A105" s="18">
        <v>57500</v>
      </c>
      <c r="B105" s="24">
        <v>57500</v>
      </c>
      <c r="C105" s="25">
        <v>18000</v>
      </c>
      <c r="K105">
        <f>INDEX(OutputValues,101,$J$4)</f>
        <v>57500</v>
      </c>
    </row>
    <row r="106" spans="1:11" x14ac:dyDescent="0.25">
      <c r="A106" s="18">
        <v>58000</v>
      </c>
      <c r="B106" s="24">
        <v>58000</v>
      </c>
      <c r="C106" s="25">
        <v>19000</v>
      </c>
      <c r="K106">
        <f>INDEX(OutputValues,102,$J$4)</f>
        <v>58000</v>
      </c>
    </row>
    <row r="107" spans="1:11" x14ac:dyDescent="0.25">
      <c r="A107" s="18">
        <v>58500</v>
      </c>
      <c r="B107" s="24">
        <v>59500</v>
      </c>
      <c r="C107" s="25">
        <v>19000</v>
      </c>
      <c r="K107">
        <f>INDEX(OutputValues,103,$J$4)</f>
        <v>59500</v>
      </c>
    </row>
    <row r="108" spans="1:11" x14ac:dyDescent="0.25">
      <c r="A108" s="18">
        <v>59000</v>
      </c>
      <c r="B108" s="24">
        <v>59500</v>
      </c>
      <c r="C108" s="25">
        <v>19000</v>
      </c>
      <c r="K108">
        <f>INDEX(OutputValues,104,$J$4)</f>
        <v>59500</v>
      </c>
    </row>
    <row r="109" spans="1:11" x14ac:dyDescent="0.25">
      <c r="A109" s="18">
        <v>59500</v>
      </c>
      <c r="B109" s="24">
        <v>59500</v>
      </c>
      <c r="C109" s="25">
        <v>19000</v>
      </c>
      <c r="K109">
        <f>INDEX(OutputValues,105,$J$4)</f>
        <v>59500</v>
      </c>
    </row>
    <row r="110" spans="1:11" x14ac:dyDescent="0.25">
      <c r="A110" s="18">
        <v>60000</v>
      </c>
      <c r="B110" s="24">
        <v>61500</v>
      </c>
      <c r="C110" s="25">
        <v>20000</v>
      </c>
      <c r="K110">
        <f>INDEX(OutputValues,106,$J$4)</f>
        <v>61500</v>
      </c>
    </row>
    <row r="111" spans="1:11" x14ac:dyDescent="0.25">
      <c r="A111" s="18">
        <v>60500</v>
      </c>
      <c r="B111" s="24">
        <v>61500</v>
      </c>
      <c r="C111" s="25">
        <v>20000</v>
      </c>
      <c r="K111">
        <f>INDEX(OutputValues,107,$J$4)</f>
        <v>61500</v>
      </c>
    </row>
    <row r="112" spans="1:11" x14ac:dyDescent="0.25">
      <c r="A112" s="18">
        <v>61000</v>
      </c>
      <c r="B112" s="24">
        <v>61500</v>
      </c>
      <c r="C112" s="25">
        <v>20000</v>
      </c>
      <c r="K112">
        <f>INDEX(OutputValues,108,$J$4)</f>
        <v>61500</v>
      </c>
    </row>
    <row r="113" spans="1:11" x14ac:dyDescent="0.25">
      <c r="A113" s="18">
        <v>61500</v>
      </c>
      <c r="B113" s="24">
        <v>61500</v>
      </c>
      <c r="C113" s="25">
        <v>20000</v>
      </c>
      <c r="K113">
        <f>INDEX(OutputValues,109,$J$4)</f>
        <v>61500</v>
      </c>
    </row>
    <row r="114" spans="1:11" x14ac:dyDescent="0.25">
      <c r="A114" s="18">
        <v>62000</v>
      </c>
      <c r="B114" s="24">
        <v>65500</v>
      </c>
      <c r="C114" s="25">
        <v>20500</v>
      </c>
      <c r="K114">
        <f>INDEX(OutputValues,110,$J$4)</f>
        <v>65500</v>
      </c>
    </row>
    <row r="115" spans="1:11" x14ac:dyDescent="0.25">
      <c r="A115" s="18">
        <v>62500</v>
      </c>
      <c r="B115" s="24">
        <v>65500</v>
      </c>
      <c r="C115" s="25">
        <v>20500</v>
      </c>
      <c r="K115">
        <f>INDEX(OutputValues,111,$J$4)</f>
        <v>65500</v>
      </c>
    </row>
    <row r="116" spans="1:11" x14ac:dyDescent="0.25">
      <c r="A116" s="18">
        <v>63000</v>
      </c>
      <c r="B116" s="24">
        <v>65500</v>
      </c>
      <c r="C116" s="25">
        <v>20500</v>
      </c>
      <c r="K116">
        <f>INDEX(OutputValues,112,$J$4)</f>
        <v>65500</v>
      </c>
    </row>
    <row r="117" spans="1:11" x14ac:dyDescent="0.25">
      <c r="A117" s="18">
        <v>63500</v>
      </c>
      <c r="B117" s="24">
        <v>65500</v>
      </c>
      <c r="C117" s="25">
        <v>20500</v>
      </c>
      <c r="K117">
        <f>INDEX(OutputValues,113,$J$4)</f>
        <v>65500</v>
      </c>
    </row>
    <row r="118" spans="1:11" x14ac:dyDescent="0.25">
      <c r="A118" s="18">
        <v>64000</v>
      </c>
      <c r="B118" s="24">
        <v>65500</v>
      </c>
      <c r="C118" s="25">
        <v>20500</v>
      </c>
      <c r="K118">
        <f>INDEX(OutputValues,114,$J$4)</f>
        <v>65500</v>
      </c>
    </row>
    <row r="119" spans="1:11" x14ac:dyDescent="0.25">
      <c r="A119" s="18">
        <v>64500</v>
      </c>
      <c r="B119" s="24">
        <v>65500</v>
      </c>
      <c r="C119" s="25">
        <v>20500</v>
      </c>
      <c r="K119">
        <f>INDEX(OutputValues,115,$J$4)</f>
        <v>65500</v>
      </c>
    </row>
    <row r="120" spans="1:11" x14ac:dyDescent="0.25">
      <c r="A120" s="18">
        <v>65000</v>
      </c>
      <c r="B120" s="24">
        <v>65500</v>
      </c>
      <c r="C120" s="25">
        <v>20500</v>
      </c>
      <c r="K120">
        <f>INDEX(OutputValues,116,$J$4)</f>
        <v>65500</v>
      </c>
    </row>
    <row r="121" spans="1:11" x14ac:dyDescent="0.25">
      <c r="A121" s="18">
        <v>65500</v>
      </c>
      <c r="B121" s="24">
        <v>65500</v>
      </c>
      <c r="C121" s="25">
        <v>20500</v>
      </c>
      <c r="K121">
        <f>INDEX(OutputValues,117,$J$4)</f>
        <v>65500</v>
      </c>
    </row>
    <row r="122" spans="1:11" x14ac:dyDescent="0.25">
      <c r="A122" s="18">
        <v>66000</v>
      </c>
      <c r="B122" s="24">
        <v>67500</v>
      </c>
      <c r="C122" s="25">
        <v>21500</v>
      </c>
      <c r="K122">
        <f>INDEX(OutputValues,118,$J$4)</f>
        <v>67500</v>
      </c>
    </row>
    <row r="123" spans="1:11" x14ac:dyDescent="0.25">
      <c r="A123" s="18">
        <v>66500</v>
      </c>
      <c r="B123" s="24">
        <v>67500</v>
      </c>
      <c r="C123" s="25">
        <v>21500</v>
      </c>
      <c r="K123">
        <f>INDEX(OutputValues,119,$J$4)</f>
        <v>67500</v>
      </c>
    </row>
    <row r="124" spans="1:11" x14ac:dyDescent="0.25">
      <c r="A124" s="18">
        <v>67000</v>
      </c>
      <c r="B124" s="24">
        <v>67500</v>
      </c>
      <c r="C124" s="25">
        <v>21500</v>
      </c>
      <c r="K124">
        <f>INDEX(OutputValues,120,$J$4)</f>
        <v>67500</v>
      </c>
    </row>
    <row r="125" spans="1:11" x14ac:dyDescent="0.25">
      <c r="A125" s="18">
        <v>67500</v>
      </c>
      <c r="B125" s="24">
        <v>67500</v>
      </c>
      <c r="C125" s="25">
        <v>21500</v>
      </c>
      <c r="K125">
        <f>INDEX(OutputValues,121,$J$4)</f>
        <v>67500</v>
      </c>
    </row>
    <row r="126" spans="1:11" x14ac:dyDescent="0.25">
      <c r="A126" s="18">
        <v>68000</v>
      </c>
      <c r="B126" s="24">
        <v>69500</v>
      </c>
      <c r="C126" s="25">
        <v>22500</v>
      </c>
      <c r="K126">
        <f>INDEX(OutputValues,122,$J$4)</f>
        <v>69500</v>
      </c>
    </row>
    <row r="127" spans="1:11" x14ac:dyDescent="0.25">
      <c r="A127" s="18">
        <v>68500</v>
      </c>
      <c r="B127" s="24">
        <v>69500</v>
      </c>
      <c r="C127" s="25">
        <v>22500</v>
      </c>
      <c r="K127">
        <f>INDEX(OutputValues,123,$J$4)</f>
        <v>69500</v>
      </c>
    </row>
    <row r="128" spans="1:11" x14ac:dyDescent="0.25">
      <c r="A128" s="18">
        <v>69000</v>
      </c>
      <c r="B128" s="24">
        <v>69500</v>
      </c>
      <c r="C128" s="25">
        <v>22500</v>
      </c>
      <c r="K128">
        <f>INDEX(OutputValues,124,$J$4)</f>
        <v>69500</v>
      </c>
    </row>
    <row r="129" spans="1:11" x14ac:dyDescent="0.25">
      <c r="A129" s="18">
        <v>69500</v>
      </c>
      <c r="B129" s="24">
        <v>69500</v>
      </c>
      <c r="C129" s="25">
        <v>22500</v>
      </c>
      <c r="K129">
        <f>INDEX(OutputValues,125,$J$4)</f>
        <v>69500</v>
      </c>
    </row>
    <row r="130" spans="1:11" x14ac:dyDescent="0.25">
      <c r="A130" s="18">
        <v>70000</v>
      </c>
      <c r="B130" s="24">
        <v>71500</v>
      </c>
      <c r="C130" s="25">
        <v>23500</v>
      </c>
      <c r="K130">
        <f>INDEX(OutputValues,126,$J$4)</f>
        <v>71500</v>
      </c>
    </row>
    <row r="131" spans="1:11" x14ac:dyDescent="0.25">
      <c r="A131" s="18">
        <v>70500</v>
      </c>
      <c r="B131" s="24">
        <v>71500</v>
      </c>
      <c r="C131" s="25">
        <v>23500</v>
      </c>
      <c r="K131">
        <f>INDEX(OutputValues,127,$J$4)</f>
        <v>71500</v>
      </c>
    </row>
    <row r="132" spans="1:11" x14ac:dyDescent="0.25">
      <c r="A132" s="18">
        <v>71000</v>
      </c>
      <c r="B132" s="24">
        <v>71500</v>
      </c>
      <c r="C132" s="25">
        <v>23500</v>
      </c>
      <c r="K132">
        <f>INDEX(OutputValues,128,$J$4)</f>
        <v>71500</v>
      </c>
    </row>
    <row r="133" spans="1:11" x14ac:dyDescent="0.25">
      <c r="A133" s="18">
        <v>71500</v>
      </c>
      <c r="B133" s="24">
        <v>73000</v>
      </c>
      <c r="C133" s="25">
        <v>23500</v>
      </c>
      <c r="K133">
        <f>INDEX(OutputValues,129,$J$4)</f>
        <v>73000</v>
      </c>
    </row>
    <row r="134" spans="1:11" x14ac:dyDescent="0.25">
      <c r="A134" s="18">
        <v>72000</v>
      </c>
      <c r="B134" s="24">
        <v>73000</v>
      </c>
      <c r="C134" s="25">
        <v>23500</v>
      </c>
      <c r="K134">
        <f>INDEX(OutputValues,130,$J$4)</f>
        <v>73000</v>
      </c>
    </row>
    <row r="135" spans="1:11" x14ac:dyDescent="0.25">
      <c r="A135" s="18">
        <v>72500</v>
      </c>
      <c r="B135" s="24">
        <v>73000</v>
      </c>
      <c r="C135" s="25">
        <v>23500</v>
      </c>
      <c r="K135">
        <f>INDEX(OutputValues,131,$J$4)</f>
        <v>73000</v>
      </c>
    </row>
    <row r="136" spans="1:11" x14ac:dyDescent="0.25">
      <c r="A136" s="18">
        <v>73000</v>
      </c>
      <c r="B136" s="24">
        <v>73000</v>
      </c>
      <c r="C136" s="25">
        <v>23500</v>
      </c>
      <c r="K136">
        <f>INDEX(OutputValues,132,$J$4)</f>
        <v>73000</v>
      </c>
    </row>
    <row r="137" spans="1:11" x14ac:dyDescent="0.25">
      <c r="A137" s="18">
        <v>73500</v>
      </c>
      <c r="B137" s="24">
        <v>75500</v>
      </c>
      <c r="C137" s="25">
        <v>24000</v>
      </c>
      <c r="K137">
        <f>INDEX(OutputValues,133,$J$4)</f>
        <v>75500</v>
      </c>
    </row>
    <row r="138" spans="1:11" x14ac:dyDescent="0.25">
      <c r="A138" s="18">
        <v>74000</v>
      </c>
      <c r="B138" s="24">
        <v>75500</v>
      </c>
      <c r="C138" s="25">
        <v>24000</v>
      </c>
      <c r="K138">
        <f>INDEX(OutputValues,134,$J$4)</f>
        <v>75500</v>
      </c>
    </row>
    <row r="139" spans="1:11" x14ac:dyDescent="0.25">
      <c r="A139" s="18">
        <v>74500</v>
      </c>
      <c r="B139" s="24">
        <v>75500</v>
      </c>
      <c r="C139" s="25">
        <v>24000</v>
      </c>
      <c r="K139">
        <f>INDEX(OutputValues,135,$J$4)</f>
        <v>75500</v>
      </c>
    </row>
    <row r="140" spans="1:11" x14ac:dyDescent="0.25">
      <c r="A140" s="18">
        <v>75000</v>
      </c>
      <c r="B140" s="24">
        <v>75500</v>
      </c>
      <c r="C140" s="25">
        <v>24000</v>
      </c>
      <c r="K140">
        <f>INDEX(OutputValues,136,$J$4)</f>
        <v>75500</v>
      </c>
    </row>
    <row r="141" spans="1:11" x14ac:dyDescent="0.25">
      <c r="A141" s="18">
        <v>75500</v>
      </c>
      <c r="B141" s="24">
        <v>75500</v>
      </c>
      <c r="C141" s="25">
        <v>24000</v>
      </c>
      <c r="K141">
        <f>INDEX(OutputValues,137,$J$4)</f>
        <v>75500</v>
      </c>
    </row>
    <row r="142" spans="1:11" x14ac:dyDescent="0.25">
      <c r="A142" s="18">
        <v>76000</v>
      </c>
      <c r="B142" s="24">
        <v>77500</v>
      </c>
      <c r="C142" s="25">
        <v>25000</v>
      </c>
      <c r="K142">
        <f>INDEX(OutputValues,138,$J$4)</f>
        <v>77500</v>
      </c>
    </row>
    <row r="143" spans="1:11" x14ac:dyDescent="0.25">
      <c r="A143" s="18">
        <v>76500</v>
      </c>
      <c r="B143" s="24">
        <v>77500</v>
      </c>
      <c r="C143" s="25">
        <v>25000</v>
      </c>
      <c r="K143">
        <f>INDEX(OutputValues,139,$J$4)</f>
        <v>77500</v>
      </c>
    </row>
    <row r="144" spans="1:11" x14ac:dyDescent="0.25">
      <c r="A144" s="18">
        <v>77000</v>
      </c>
      <c r="B144" s="24">
        <v>77500</v>
      </c>
      <c r="C144" s="25">
        <v>25000</v>
      </c>
      <c r="K144">
        <f>INDEX(OutputValues,140,$J$4)</f>
        <v>77500</v>
      </c>
    </row>
    <row r="145" spans="1:11" x14ac:dyDescent="0.25">
      <c r="A145" s="18">
        <v>77500</v>
      </c>
      <c r="B145" s="24">
        <v>77500</v>
      </c>
      <c r="C145" s="25">
        <v>25000</v>
      </c>
      <c r="K145">
        <f>INDEX(OutputValues,141,$J$4)</f>
        <v>77500</v>
      </c>
    </row>
    <row r="146" spans="1:11" x14ac:dyDescent="0.25">
      <c r="A146" s="18">
        <v>78000</v>
      </c>
      <c r="B146" s="24">
        <v>79500</v>
      </c>
      <c r="C146" s="25">
        <v>26000</v>
      </c>
      <c r="K146">
        <f>INDEX(OutputValues,142,$J$4)</f>
        <v>79500</v>
      </c>
    </row>
    <row r="147" spans="1:11" x14ac:dyDescent="0.25">
      <c r="A147" s="18">
        <v>78500</v>
      </c>
      <c r="B147" s="24">
        <v>79500</v>
      </c>
      <c r="C147" s="25">
        <v>26000</v>
      </c>
      <c r="K147">
        <f>INDEX(OutputValues,143,$J$4)</f>
        <v>79500</v>
      </c>
    </row>
    <row r="148" spans="1:11" x14ac:dyDescent="0.25">
      <c r="A148" s="18">
        <v>79000</v>
      </c>
      <c r="B148" s="24">
        <v>79500</v>
      </c>
      <c r="C148" s="25">
        <v>26000</v>
      </c>
      <c r="K148">
        <f>INDEX(OutputValues,144,$J$4)</f>
        <v>79500</v>
      </c>
    </row>
    <row r="149" spans="1:11" x14ac:dyDescent="0.25">
      <c r="A149" s="18">
        <v>79500</v>
      </c>
      <c r="B149" s="24">
        <v>79500</v>
      </c>
      <c r="C149" s="25">
        <v>26000</v>
      </c>
      <c r="K149">
        <f>INDEX(OutputValues,145,$J$4)</f>
        <v>79500</v>
      </c>
    </row>
    <row r="150" spans="1:11" x14ac:dyDescent="0.25">
      <c r="A150" s="18">
        <v>80000</v>
      </c>
      <c r="B150" s="24">
        <v>83000</v>
      </c>
      <c r="C150" s="25">
        <v>27000</v>
      </c>
      <c r="K150">
        <f>INDEX(OutputValues,146,$J$4)</f>
        <v>83000</v>
      </c>
    </row>
    <row r="151" spans="1:11" x14ac:dyDescent="0.25">
      <c r="A151" s="18">
        <v>80500</v>
      </c>
      <c r="B151" s="24">
        <v>83000</v>
      </c>
      <c r="C151" s="25">
        <v>27000</v>
      </c>
      <c r="K151">
        <f>INDEX(OutputValues,147,$J$4)</f>
        <v>83000</v>
      </c>
    </row>
    <row r="152" spans="1:11" x14ac:dyDescent="0.25">
      <c r="A152" s="18">
        <v>81000</v>
      </c>
      <c r="B152" s="24">
        <v>83000</v>
      </c>
      <c r="C152" s="25">
        <v>27000</v>
      </c>
      <c r="K152">
        <f>INDEX(OutputValues,148,$J$4)</f>
        <v>83000</v>
      </c>
    </row>
    <row r="153" spans="1:11" x14ac:dyDescent="0.25">
      <c r="A153" s="18">
        <v>81500</v>
      </c>
      <c r="B153" s="24">
        <v>83000</v>
      </c>
      <c r="C153" s="25">
        <v>27000</v>
      </c>
      <c r="K153">
        <f>INDEX(OutputValues,149,$J$4)</f>
        <v>83000</v>
      </c>
    </row>
    <row r="154" spans="1:11" x14ac:dyDescent="0.25">
      <c r="A154" s="18">
        <v>82000</v>
      </c>
      <c r="B154" s="24">
        <v>83000</v>
      </c>
      <c r="C154" s="25">
        <v>27000</v>
      </c>
      <c r="K154">
        <f>INDEX(OutputValues,150,$J$4)</f>
        <v>83000</v>
      </c>
    </row>
    <row r="155" spans="1:11" x14ac:dyDescent="0.25">
      <c r="A155" s="18">
        <v>82500</v>
      </c>
      <c r="B155" s="24">
        <v>83000</v>
      </c>
      <c r="C155" s="25">
        <v>27000</v>
      </c>
      <c r="K155">
        <f>INDEX(OutputValues,151,$J$4)</f>
        <v>83000</v>
      </c>
    </row>
    <row r="156" spans="1:11" x14ac:dyDescent="0.25">
      <c r="A156" s="18">
        <v>83000</v>
      </c>
      <c r="B156" s="24">
        <v>83000</v>
      </c>
      <c r="C156" s="25">
        <v>27000</v>
      </c>
      <c r="K156">
        <f>INDEX(OutputValues,152,$J$4)</f>
        <v>83000</v>
      </c>
    </row>
    <row r="157" spans="1:11" x14ac:dyDescent="0.25">
      <c r="A157" s="18">
        <v>83500</v>
      </c>
      <c r="B157" s="24">
        <v>85000</v>
      </c>
      <c r="C157" s="25">
        <v>28000</v>
      </c>
      <c r="K157">
        <f>INDEX(OutputValues,153,$J$4)</f>
        <v>85000</v>
      </c>
    </row>
    <row r="158" spans="1:11" x14ac:dyDescent="0.25">
      <c r="A158" s="18">
        <v>84000</v>
      </c>
      <c r="B158" s="24">
        <v>85000</v>
      </c>
      <c r="C158" s="25">
        <v>28000</v>
      </c>
      <c r="K158">
        <f>INDEX(OutputValues,154,$J$4)</f>
        <v>85000</v>
      </c>
    </row>
    <row r="159" spans="1:11" x14ac:dyDescent="0.25">
      <c r="A159" s="18">
        <v>84500</v>
      </c>
      <c r="B159" s="24">
        <v>85000</v>
      </c>
      <c r="C159" s="25">
        <v>28000</v>
      </c>
      <c r="K159">
        <f>INDEX(OutputValues,155,$J$4)</f>
        <v>85000</v>
      </c>
    </row>
    <row r="160" spans="1:11" x14ac:dyDescent="0.25">
      <c r="A160" s="18">
        <v>85000</v>
      </c>
      <c r="B160" s="24">
        <v>85000</v>
      </c>
      <c r="C160" s="25">
        <v>28000</v>
      </c>
      <c r="K160">
        <f>INDEX(OutputValues,156,$J$4)</f>
        <v>85000</v>
      </c>
    </row>
    <row r="161" spans="1:11" x14ac:dyDescent="0.25">
      <c r="A161" s="18">
        <v>85500</v>
      </c>
      <c r="B161" s="24">
        <v>87500</v>
      </c>
      <c r="C161" s="25">
        <v>28500</v>
      </c>
      <c r="K161">
        <f>INDEX(OutputValues,157,$J$4)</f>
        <v>87500</v>
      </c>
    </row>
    <row r="162" spans="1:11" x14ac:dyDescent="0.25">
      <c r="A162" s="18">
        <v>86000</v>
      </c>
      <c r="B162" s="24">
        <v>87500</v>
      </c>
      <c r="C162" s="25">
        <v>28500</v>
      </c>
      <c r="K162">
        <f>INDEX(OutputValues,158,$J$4)</f>
        <v>87500</v>
      </c>
    </row>
    <row r="163" spans="1:11" x14ac:dyDescent="0.25">
      <c r="A163" s="18">
        <v>86500</v>
      </c>
      <c r="B163" s="24">
        <v>87500</v>
      </c>
      <c r="C163" s="25">
        <v>28500</v>
      </c>
      <c r="K163">
        <f>INDEX(OutputValues,159,$J$4)</f>
        <v>87500</v>
      </c>
    </row>
    <row r="164" spans="1:11" x14ac:dyDescent="0.25">
      <c r="A164" s="18">
        <v>87000</v>
      </c>
      <c r="B164" s="24">
        <v>87500</v>
      </c>
      <c r="C164" s="25">
        <v>28500</v>
      </c>
      <c r="K164">
        <f>INDEX(OutputValues,160,$J$4)</f>
        <v>87500</v>
      </c>
    </row>
    <row r="165" spans="1:11" x14ac:dyDescent="0.25">
      <c r="A165" s="18">
        <v>87500</v>
      </c>
      <c r="B165" s="24">
        <v>87500</v>
      </c>
      <c r="C165" s="25">
        <v>28500</v>
      </c>
      <c r="K165">
        <f>INDEX(OutputValues,161,$J$4)</f>
        <v>87500</v>
      </c>
    </row>
    <row r="166" spans="1:11" x14ac:dyDescent="0.25">
      <c r="A166" s="18">
        <v>88000</v>
      </c>
      <c r="B166" s="24">
        <v>95000</v>
      </c>
      <c r="C166" s="25">
        <v>31500</v>
      </c>
      <c r="K166">
        <f>INDEX(OutputValues,162,$J$4)</f>
        <v>95000</v>
      </c>
    </row>
    <row r="167" spans="1:11" x14ac:dyDescent="0.25">
      <c r="A167" s="18">
        <v>88500</v>
      </c>
      <c r="B167" s="24">
        <v>95000</v>
      </c>
      <c r="C167" s="25">
        <v>31500</v>
      </c>
      <c r="K167">
        <f>INDEX(OutputValues,163,$J$4)</f>
        <v>95000</v>
      </c>
    </row>
    <row r="168" spans="1:11" x14ac:dyDescent="0.25">
      <c r="A168" s="18">
        <v>89000</v>
      </c>
      <c r="B168" s="24">
        <v>95000</v>
      </c>
      <c r="C168" s="25">
        <v>31500</v>
      </c>
      <c r="K168">
        <f>INDEX(OutputValues,164,$J$4)</f>
        <v>95000</v>
      </c>
    </row>
    <row r="169" spans="1:11" x14ac:dyDescent="0.25">
      <c r="A169" s="18">
        <v>89500</v>
      </c>
      <c r="B169" s="24">
        <v>95000</v>
      </c>
      <c r="C169" s="25">
        <v>31500</v>
      </c>
      <c r="K169">
        <f>INDEX(OutputValues,165,$J$4)</f>
        <v>95000</v>
      </c>
    </row>
    <row r="170" spans="1:11" x14ac:dyDescent="0.25">
      <c r="A170" s="18">
        <v>90000</v>
      </c>
      <c r="B170" s="24">
        <v>95000</v>
      </c>
      <c r="C170" s="25">
        <v>31500</v>
      </c>
      <c r="K170">
        <f>INDEX(OutputValues,166,$J$4)</f>
        <v>95000</v>
      </c>
    </row>
    <row r="171" spans="1:11" x14ac:dyDescent="0.25">
      <c r="A171" s="18">
        <v>90500</v>
      </c>
      <c r="B171" s="24">
        <v>95000</v>
      </c>
      <c r="C171" s="25">
        <v>31500</v>
      </c>
      <c r="K171">
        <f>INDEX(OutputValues,167,$J$4)</f>
        <v>95000</v>
      </c>
    </row>
    <row r="172" spans="1:11" x14ac:dyDescent="0.25">
      <c r="A172" s="18">
        <v>91000</v>
      </c>
      <c r="B172" s="24">
        <v>95000</v>
      </c>
      <c r="C172" s="25">
        <v>31500</v>
      </c>
      <c r="K172">
        <f>INDEX(OutputValues,168,$J$4)</f>
        <v>95000</v>
      </c>
    </row>
    <row r="173" spans="1:11" x14ac:dyDescent="0.25">
      <c r="A173" s="18">
        <v>91500</v>
      </c>
      <c r="B173" s="24">
        <v>95000</v>
      </c>
      <c r="C173" s="25">
        <v>31500</v>
      </c>
      <c r="K173">
        <f>INDEX(OutputValues,169,$J$4)</f>
        <v>95000</v>
      </c>
    </row>
    <row r="174" spans="1:11" x14ac:dyDescent="0.25">
      <c r="A174" s="18">
        <v>92000</v>
      </c>
      <c r="B174" s="24">
        <v>95000</v>
      </c>
      <c r="C174" s="25">
        <v>31500</v>
      </c>
      <c r="K174">
        <f>INDEX(OutputValues,170,$J$4)</f>
        <v>95000</v>
      </c>
    </row>
    <row r="175" spans="1:11" x14ac:dyDescent="0.25">
      <c r="A175" s="18">
        <v>92500</v>
      </c>
      <c r="B175" s="24">
        <v>95000</v>
      </c>
      <c r="C175" s="25">
        <v>31500</v>
      </c>
      <c r="K175">
        <f>INDEX(OutputValues,171,$J$4)</f>
        <v>95000</v>
      </c>
    </row>
    <row r="176" spans="1:11" x14ac:dyDescent="0.25">
      <c r="A176" s="18">
        <v>93000</v>
      </c>
      <c r="B176" s="24">
        <v>95000</v>
      </c>
      <c r="C176" s="25">
        <v>31500</v>
      </c>
      <c r="K176">
        <f>INDEX(OutputValues,172,$J$4)</f>
        <v>95000</v>
      </c>
    </row>
    <row r="177" spans="1:11" x14ac:dyDescent="0.25">
      <c r="A177" s="18">
        <v>93500</v>
      </c>
      <c r="B177" s="24">
        <v>95000</v>
      </c>
      <c r="C177" s="25">
        <v>31500</v>
      </c>
      <c r="K177">
        <f>INDEX(OutputValues,173,$J$4)</f>
        <v>95000</v>
      </c>
    </row>
    <row r="178" spans="1:11" x14ac:dyDescent="0.25">
      <c r="A178" s="18">
        <v>94000</v>
      </c>
      <c r="B178" s="24">
        <v>95000</v>
      </c>
      <c r="C178" s="25">
        <v>31500</v>
      </c>
      <c r="K178">
        <f>INDEX(OutputValues,174,$J$4)</f>
        <v>95000</v>
      </c>
    </row>
    <row r="179" spans="1:11" x14ac:dyDescent="0.25">
      <c r="A179" s="18">
        <v>94500</v>
      </c>
      <c r="B179" s="24">
        <v>95000</v>
      </c>
      <c r="C179" s="25">
        <v>31500</v>
      </c>
      <c r="K179">
        <f>INDEX(OutputValues,175,$J$4)</f>
        <v>95000</v>
      </c>
    </row>
    <row r="180" spans="1:11" x14ac:dyDescent="0.25">
      <c r="A180" s="18">
        <v>95000</v>
      </c>
      <c r="B180" s="26">
        <v>95000</v>
      </c>
      <c r="C180" s="27">
        <v>31500</v>
      </c>
      <c r="K180">
        <f>INDEX(OutputValues,176,$J$4)</f>
        <v>95000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Model</vt:lpstr>
      <vt:lpstr>Model_STS</vt:lpstr>
      <vt:lpstr>STS_1</vt:lpstr>
      <vt:lpstr>STS_1!ChartData</vt:lpstr>
      <vt:lpstr>STS_1!InputValues</vt:lpstr>
      <vt:lpstr>Investment_levels</vt:lpstr>
      <vt:lpstr>Lower_bound</vt:lpstr>
      <vt:lpstr>NPV_obtained</vt:lpstr>
      <vt:lpstr>STS_1!OutputAddresses</vt:lpstr>
      <vt:lpstr>STS_1!OutputValues</vt:lpstr>
      <vt:lpstr>Total_invested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2002-09-23T20:46:33Z</cp:lastPrinted>
  <dcterms:created xsi:type="dcterms:W3CDTF">1997-08-23T19:53:01Z</dcterms:created>
  <dcterms:modified xsi:type="dcterms:W3CDTF">2014-05-21T13:59:54Z</dcterms:modified>
</cp:coreProperties>
</file>